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rkgevers\Gegevensinwinning\UPA\Rekenvoorbeelden\Slagers\2023\"/>
    </mc:Choice>
  </mc:AlternateContent>
  <xr:revisionPtr revIDLastSave="0" documentId="13_ncr:1_{7E1EEAAB-A0BA-45AD-851A-F02A9AF3C1E3}" xr6:coauthVersionLast="47" xr6:coauthVersionMax="47" xr10:uidLastSave="{00000000-0000-0000-0000-000000000000}"/>
  <bookViews>
    <workbookView xWindow="-28920" yWindow="-45" windowWidth="29040" windowHeight="15840" tabRatio="599" xr2:uid="{00000000-000D-0000-FFFF-FFFF00000000}"/>
  </bookViews>
  <sheets>
    <sheet name="4 wkn" sheetId="1" r:id="rId1"/>
    <sheet name="Parameters" sheetId="2" r:id="rId2"/>
  </sheets>
  <definedNames>
    <definedName name="Aantal_SV_dagen_in_het_jaar">Parameters!$B$2</definedName>
    <definedName name="Aantal_weken_in_het_jaar">Parameters!#REF!</definedName>
    <definedName name="Franchise_OP_NP">Parameters!$B$6</definedName>
    <definedName name="Franchise_OP_NP_per_uur">Parameters!$B$7</definedName>
    <definedName name="Jaar_van_berekening">Parameters!$B$1</definedName>
    <definedName name="Max_pensioengev_salaris_per_jaar_OP_NP">Parameters!$B$8</definedName>
    <definedName name="Max_pensioengev_salaris_per_jaar_VPL">Parameters!#REF!</definedName>
    <definedName name="Max_pensioengev_salaris_per_uur_OP_NP">Parameters!$B$9</definedName>
    <definedName name="Max_pensioengev_salaris_per_uur_VPL">Parameters!#REF!</definedName>
    <definedName name="Max_premie_OP_NP">Parameters!#REF!</definedName>
    <definedName name="Max_premie_VOS">Parameters!#REF!</definedName>
    <definedName name="Max_premie_VPL">Parameters!#REF!</definedName>
    <definedName name="Max_uren_per_gewerkte_dag">Parameters!$B$4</definedName>
    <definedName name="Max_uren_per_sv_dag">Parameters!$B$5</definedName>
    <definedName name="Normuren_per_jaar">Parameters!$B$3</definedName>
    <definedName name="Normuren_per_week">Parameters!#REF!</definedName>
    <definedName name="Premie___OP_NP">Parameters!$B$12</definedName>
    <definedName name="Premie___VPL">Parameters!#REF!</definedName>
    <definedName name="Premie__VOS">Parameters!$B$13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G4" i="1"/>
  <c r="H4" i="1" s="1"/>
  <c r="E15" i="1"/>
  <c r="E48" i="1"/>
  <c r="E31" i="1"/>
  <c r="E14" i="1"/>
  <c r="G3" i="1" l="1"/>
  <c r="H3" i="1" s="1"/>
  <c r="G10" i="1"/>
  <c r="H10" i="1" s="1"/>
  <c r="G13" i="1"/>
  <c r="H13" i="1" s="1"/>
  <c r="G6" i="1"/>
  <c r="H6" i="1" s="1"/>
  <c r="G5" i="1"/>
  <c r="H5" i="1" s="1"/>
  <c r="G7" i="1"/>
  <c r="H7" i="1" s="1"/>
  <c r="G14" i="1"/>
  <c r="H14" i="1" s="1"/>
  <c r="G9" i="1"/>
  <c r="H9" i="1" s="1"/>
  <c r="G12" i="1"/>
  <c r="H12" i="1" s="1"/>
  <c r="G8" i="1"/>
  <c r="H8" i="1" s="1"/>
  <c r="G15" i="1"/>
  <c r="H15" i="1" s="1"/>
  <c r="G11" i="1"/>
  <c r="H11" i="1" s="1"/>
  <c r="B3" i="2"/>
  <c r="E57" i="1" l="1"/>
  <c r="E58" i="1"/>
  <c r="E59" i="1"/>
  <c r="E60" i="1"/>
  <c r="E61" i="1"/>
  <c r="E56" i="1"/>
  <c r="C56" i="1"/>
  <c r="C57" i="1" s="1"/>
  <c r="C58" i="1" s="1"/>
  <c r="C59" i="1" s="1"/>
  <c r="C60" i="1" s="1"/>
  <c r="C61" i="1" s="1"/>
  <c r="E21" i="1"/>
  <c r="E22" i="1"/>
  <c r="E23" i="1"/>
  <c r="E24" i="1"/>
  <c r="E25" i="1"/>
  <c r="E26" i="1"/>
  <c r="E27" i="1"/>
  <c r="E28" i="1"/>
  <c r="E29" i="1"/>
  <c r="E30" i="1"/>
  <c r="E32" i="1"/>
  <c r="C20" i="1"/>
  <c r="C21" i="1" s="1"/>
  <c r="C22" i="1" s="1"/>
  <c r="C23" i="1" s="1"/>
  <c r="C24" i="1" s="1"/>
  <c r="C25" i="1" s="1"/>
  <c r="C26" i="1" s="1"/>
  <c r="C27" i="1" s="1"/>
  <c r="C28" i="1" s="1"/>
  <c r="C29" i="1" s="1"/>
  <c r="E38" i="1"/>
  <c r="E39" i="1"/>
  <c r="E40" i="1"/>
  <c r="E41" i="1"/>
  <c r="E42" i="1"/>
  <c r="E43" i="1"/>
  <c r="E44" i="1"/>
  <c r="E45" i="1"/>
  <c r="E46" i="1"/>
  <c r="E47" i="1"/>
  <c r="E49" i="1"/>
  <c r="E37" i="1"/>
  <c r="C37" i="1"/>
  <c r="C38" i="1" s="1"/>
  <c r="C39" i="1" s="1"/>
  <c r="C40" i="1" s="1"/>
  <c r="C41" i="1" s="1"/>
  <c r="C42" i="1" s="1"/>
  <c r="C43" i="1" s="1"/>
  <c r="C44" i="1" s="1"/>
  <c r="C45" i="1" s="1"/>
  <c r="C46" i="1" s="1"/>
  <c r="B11" i="2"/>
  <c r="C47" i="1" l="1"/>
  <c r="C49" i="1" s="1"/>
  <c r="C48" i="1"/>
  <c r="G48" i="1"/>
  <c r="C30" i="1"/>
  <c r="C32" i="1" s="1"/>
  <c r="C31" i="1"/>
  <c r="G31" i="1"/>
  <c r="G57" i="1"/>
  <c r="G22" i="1"/>
  <c r="H22" i="1" s="1"/>
  <c r="G21" i="1"/>
  <c r="H21" i="1" s="1"/>
  <c r="G20" i="1"/>
  <c r="H20" i="1" s="1"/>
  <c r="I20" i="1" s="1"/>
  <c r="G28" i="1"/>
  <c r="H28" i="1" s="1"/>
  <c r="G24" i="1"/>
  <c r="H24" i="1" s="1"/>
  <c r="G38" i="1"/>
  <c r="H38" i="1" s="1"/>
  <c r="G32" i="1"/>
  <c r="H32" i="1" s="1"/>
  <c r="G27" i="1"/>
  <c r="H27" i="1" s="1"/>
  <c r="G23" i="1"/>
  <c r="H23" i="1" s="1"/>
  <c r="G60" i="1"/>
  <c r="G30" i="1"/>
  <c r="H30" i="1" s="1"/>
  <c r="G26" i="1"/>
  <c r="H26" i="1" s="1"/>
  <c r="G59" i="1"/>
  <c r="G29" i="1"/>
  <c r="H29" i="1" s="1"/>
  <c r="G25" i="1"/>
  <c r="H25" i="1" s="1"/>
  <c r="G56" i="1"/>
  <c r="G58" i="1"/>
  <c r="G61" i="1"/>
  <c r="G43" i="1"/>
  <c r="H43" i="1" s="1"/>
  <c r="G49" i="1"/>
  <c r="G44" i="1"/>
  <c r="G40" i="1"/>
  <c r="G47" i="1"/>
  <c r="G39" i="1"/>
  <c r="H39" i="1" s="1"/>
  <c r="G46" i="1"/>
  <c r="G42" i="1"/>
  <c r="G37" i="1"/>
  <c r="H37" i="1" s="1"/>
  <c r="G45" i="1"/>
  <c r="G41" i="1"/>
  <c r="H41" i="1" s="1"/>
  <c r="B9" i="2"/>
  <c r="B7" i="2"/>
  <c r="H46" i="1" l="1"/>
  <c r="I46" i="1" s="1"/>
  <c r="H44" i="1"/>
  <c r="I44" i="1" s="1"/>
  <c r="H49" i="1"/>
  <c r="I49" i="1" s="1"/>
  <c r="H48" i="1"/>
  <c r="I48" i="1" s="1"/>
  <c r="H47" i="1"/>
  <c r="I47" i="1" s="1"/>
  <c r="L20" i="1"/>
  <c r="H31" i="1"/>
  <c r="I31" i="1" s="1"/>
  <c r="H45" i="1"/>
  <c r="I45" i="1" s="1"/>
  <c r="H42" i="1"/>
  <c r="I42" i="1" s="1"/>
  <c r="H40" i="1"/>
  <c r="I40" i="1" s="1"/>
  <c r="H58" i="1"/>
  <c r="I58" i="1" s="1"/>
  <c r="J58" i="1" s="1"/>
  <c r="K58" i="1" s="1"/>
  <c r="H59" i="1"/>
  <c r="I59" i="1" s="1"/>
  <c r="H56" i="1"/>
  <c r="I56" i="1" s="1"/>
  <c r="H57" i="1"/>
  <c r="I57" i="1" s="1"/>
  <c r="H61" i="1"/>
  <c r="I61" i="1" s="1"/>
  <c r="H60" i="1"/>
  <c r="I60" i="1" s="1"/>
  <c r="I14" i="1"/>
  <c r="I32" i="1"/>
  <c r="I37" i="1"/>
  <c r="J37" i="1" s="1"/>
  <c r="K37" i="1" s="1"/>
  <c r="S37" i="1" s="1"/>
  <c r="I43" i="1"/>
  <c r="N43" i="1" s="1"/>
  <c r="I41" i="1"/>
  <c r="N41" i="1" s="1"/>
  <c r="I38" i="1"/>
  <c r="N38" i="1" s="1"/>
  <c r="I39" i="1"/>
  <c r="N39" i="1" s="1"/>
  <c r="I28" i="1"/>
  <c r="N28" i="1" s="1"/>
  <c r="E7" i="1"/>
  <c r="E8" i="1"/>
  <c r="E9" i="1"/>
  <c r="E10" i="1"/>
  <c r="E11" i="1"/>
  <c r="E12" i="1"/>
  <c r="E13" i="1"/>
  <c r="E6" i="1"/>
  <c r="C3" i="1"/>
  <c r="C4" i="1" s="1"/>
  <c r="C5" i="1" s="1"/>
  <c r="C6" i="1" s="1"/>
  <c r="C7" i="1" s="1"/>
  <c r="C8" i="1" s="1"/>
  <c r="C9" i="1" s="1"/>
  <c r="C10" i="1" s="1"/>
  <c r="C11" i="1" s="1"/>
  <c r="C12" i="1" s="1"/>
  <c r="J43" i="1" l="1"/>
  <c r="K43" i="1" s="1"/>
  <c r="L42" i="1"/>
  <c r="M42" i="1" s="1"/>
  <c r="N42" i="1"/>
  <c r="J42" i="1"/>
  <c r="K42" i="1" s="1"/>
  <c r="N31" i="1"/>
  <c r="L31" i="1"/>
  <c r="M31" i="1" s="1"/>
  <c r="J31" i="1"/>
  <c r="K31" i="1" s="1"/>
  <c r="N48" i="1"/>
  <c r="L48" i="1"/>
  <c r="M48" i="1" s="1"/>
  <c r="J48" i="1"/>
  <c r="K48" i="1" s="1"/>
  <c r="L49" i="1"/>
  <c r="M49" i="1" s="1"/>
  <c r="J49" i="1"/>
  <c r="K49" i="1" s="1"/>
  <c r="N49" i="1"/>
  <c r="N44" i="1"/>
  <c r="L44" i="1"/>
  <c r="M44" i="1" s="1"/>
  <c r="J44" i="1"/>
  <c r="K44" i="1" s="1"/>
  <c r="S44" i="1" s="1"/>
  <c r="L40" i="1"/>
  <c r="M40" i="1" s="1"/>
  <c r="J40" i="1"/>
  <c r="K40" i="1" s="1"/>
  <c r="N40" i="1"/>
  <c r="J56" i="1"/>
  <c r="K56" i="1" s="1"/>
  <c r="S56" i="1" s="1"/>
  <c r="N56" i="1"/>
  <c r="L56" i="1"/>
  <c r="M56" i="1" s="1"/>
  <c r="N45" i="1"/>
  <c r="L45" i="1"/>
  <c r="M45" i="1" s="1"/>
  <c r="J45" i="1"/>
  <c r="K45" i="1" s="1"/>
  <c r="N47" i="1"/>
  <c r="L47" i="1"/>
  <c r="M47" i="1" s="1"/>
  <c r="J47" i="1"/>
  <c r="K47" i="1" s="1"/>
  <c r="N46" i="1"/>
  <c r="L46" i="1"/>
  <c r="M46" i="1" s="1"/>
  <c r="J46" i="1"/>
  <c r="K46" i="1" s="1"/>
  <c r="S46" i="1" s="1"/>
  <c r="N32" i="1"/>
  <c r="J61" i="1"/>
  <c r="K61" i="1" s="1"/>
  <c r="N58" i="1"/>
  <c r="L58" i="1"/>
  <c r="M58" i="1" s="1"/>
  <c r="L61" i="1"/>
  <c r="M61" i="1" s="1"/>
  <c r="N61" i="1"/>
  <c r="L59" i="1"/>
  <c r="M59" i="1" s="1"/>
  <c r="J59" i="1"/>
  <c r="K59" i="1" s="1"/>
  <c r="S59" i="1" s="1"/>
  <c r="N59" i="1"/>
  <c r="L57" i="1"/>
  <c r="M57" i="1" s="1"/>
  <c r="J57" i="1"/>
  <c r="K57" i="1" s="1"/>
  <c r="S58" i="1" s="1"/>
  <c r="N57" i="1"/>
  <c r="L60" i="1"/>
  <c r="M60" i="1" s="1"/>
  <c r="N60" i="1"/>
  <c r="J60" i="1"/>
  <c r="K60" i="1" s="1"/>
  <c r="J28" i="1"/>
  <c r="K28" i="1" s="1"/>
  <c r="L28" i="1"/>
  <c r="M28" i="1" s="1"/>
  <c r="O28" i="1" s="1"/>
  <c r="L32" i="1"/>
  <c r="M32" i="1" s="1"/>
  <c r="T37" i="1"/>
  <c r="L38" i="1"/>
  <c r="M38" i="1" s="1"/>
  <c r="O38" i="1" s="1"/>
  <c r="J32" i="1"/>
  <c r="K32" i="1" s="1"/>
  <c r="S32" i="1" s="1"/>
  <c r="L14" i="1"/>
  <c r="J14" i="1"/>
  <c r="N14" i="1"/>
  <c r="C13" i="1"/>
  <c r="C15" i="1" s="1"/>
  <c r="C14" i="1"/>
  <c r="J41" i="1"/>
  <c r="K41" i="1" s="1"/>
  <c r="I13" i="1"/>
  <c r="I11" i="1"/>
  <c r="I7" i="1"/>
  <c r="I30" i="1"/>
  <c r="L30" i="1" s="1"/>
  <c r="M30" i="1" s="1"/>
  <c r="I24" i="1"/>
  <c r="I15" i="1"/>
  <c r="I10" i="1"/>
  <c r="N37" i="1"/>
  <c r="J39" i="1"/>
  <c r="K39" i="1" s="1"/>
  <c r="J38" i="1"/>
  <c r="K38" i="1" s="1"/>
  <c r="S38" i="1" s="1"/>
  <c r="T38" i="1" s="1"/>
  <c r="I27" i="1"/>
  <c r="J27" i="1" s="1"/>
  <c r="K27" i="1" s="1"/>
  <c r="I26" i="1"/>
  <c r="N26" i="1" s="1"/>
  <c r="I29" i="1"/>
  <c r="J29" i="1" s="1"/>
  <c r="K29" i="1" s="1"/>
  <c r="L43" i="1"/>
  <c r="M43" i="1" s="1"/>
  <c r="O43" i="1" s="1"/>
  <c r="I9" i="1"/>
  <c r="I23" i="1"/>
  <c r="J23" i="1" s="1"/>
  <c r="K23" i="1" s="1"/>
  <c r="I22" i="1"/>
  <c r="L22" i="1" s="1"/>
  <c r="M22" i="1" s="1"/>
  <c r="I25" i="1"/>
  <c r="I12" i="1"/>
  <c r="I8" i="1"/>
  <c r="L41" i="1"/>
  <c r="M41" i="1" s="1"/>
  <c r="O41" i="1" s="1"/>
  <c r="L39" i="1"/>
  <c r="M39" i="1" s="1"/>
  <c r="O39" i="1" s="1"/>
  <c r="L37" i="1"/>
  <c r="M37" i="1" s="1"/>
  <c r="I21" i="1"/>
  <c r="N21" i="1" s="1"/>
  <c r="O40" i="1"/>
  <c r="T56" i="1"/>
  <c r="O44" i="1"/>
  <c r="I6" i="1"/>
  <c r="E5" i="1"/>
  <c r="E4" i="1"/>
  <c r="E3" i="1"/>
  <c r="I3" i="1" s="1"/>
  <c r="J3" i="1" s="1"/>
  <c r="O47" i="1" l="1"/>
  <c r="S45" i="1"/>
  <c r="O56" i="1"/>
  <c r="O46" i="1"/>
  <c r="O42" i="1"/>
  <c r="S43" i="1"/>
  <c r="S47" i="1"/>
  <c r="S40" i="1"/>
  <c r="S42" i="1"/>
  <c r="O31" i="1"/>
  <c r="S61" i="1"/>
  <c r="O48" i="1"/>
  <c r="P48" i="1" s="1"/>
  <c r="O45" i="1"/>
  <c r="O49" i="1"/>
  <c r="O59" i="1"/>
  <c r="O58" i="1"/>
  <c r="S49" i="1"/>
  <c r="S29" i="1"/>
  <c r="S48" i="1"/>
  <c r="O60" i="1"/>
  <c r="Q60" i="1" s="1"/>
  <c r="O32" i="1"/>
  <c r="O61" i="1"/>
  <c r="P61" i="1" s="1"/>
  <c r="S57" i="1"/>
  <c r="T57" i="1" s="1"/>
  <c r="S60" i="1"/>
  <c r="O57" i="1"/>
  <c r="S28" i="1"/>
  <c r="N30" i="1"/>
  <c r="O30" i="1" s="1"/>
  <c r="J21" i="1"/>
  <c r="K21" i="1" s="1"/>
  <c r="L21" i="1"/>
  <c r="M21" i="1" s="1"/>
  <c r="O21" i="1" s="1"/>
  <c r="N25" i="1"/>
  <c r="M14" i="1"/>
  <c r="O14" i="1" s="1"/>
  <c r="K14" i="1"/>
  <c r="S41" i="1"/>
  <c r="J24" i="1"/>
  <c r="K24" i="1" s="1"/>
  <c r="S24" i="1" s="1"/>
  <c r="J26" i="1"/>
  <c r="K26" i="1" s="1"/>
  <c r="S27" i="1" s="1"/>
  <c r="N24" i="1"/>
  <c r="L27" i="1"/>
  <c r="M27" i="1" s="1"/>
  <c r="M20" i="1"/>
  <c r="Q40" i="1"/>
  <c r="P41" i="1"/>
  <c r="N3" i="1"/>
  <c r="J25" i="1"/>
  <c r="K25" i="1" s="1"/>
  <c r="L24" i="1"/>
  <c r="M24" i="1" s="1"/>
  <c r="L29" i="1"/>
  <c r="M29" i="1" s="1"/>
  <c r="Q42" i="1"/>
  <c r="N29" i="1"/>
  <c r="J30" i="1"/>
  <c r="K30" i="1" s="1"/>
  <c r="S31" i="1" s="1"/>
  <c r="Q39" i="1"/>
  <c r="P39" i="1"/>
  <c r="N20" i="1"/>
  <c r="N27" i="1"/>
  <c r="O37" i="1"/>
  <c r="P38" i="1" s="1"/>
  <c r="P43" i="1"/>
  <c r="Q43" i="1"/>
  <c r="J22" i="1"/>
  <c r="K22" i="1" s="1"/>
  <c r="S23" i="1" s="1"/>
  <c r="I5" i="1"/>
  <c r="L26" i="1"/>
  <c r="M26" i="1" s="1"/>
  <c r="O26" i="1" s="1"/>
  <c r="N22" i="1"/>
  <c r="O22" i="1" s="1"/>
  <c r="J20" i="1"/>
  <c r="K20" i="1" s="1"/>
  <c r="S20" i="1" s="1"/>
  <c r="P40" i="1"/>
  <c r="P42" i="1"/>
  <c r="I4" i="1"/>
  <c r="P45" i="1"/>
  <c r="N23" i="1"/>
  <c r="L23" i="1"/>
  <c r="M23" i="1" s="1"/>
  <c r="L25" i="1"/>
  <c r="M25" i="1" s="1"/>
  <c r="S39" i="1"/>
  <c r="T39" i="1" s="1"/>
  <c r="Q41" i="1"/>
  <c r="Q46" i="1"/>
  <c r="P46" i="1"/>
  <c r="Q44" i="1"/>
  <c r="P44" i="1"/>
  <c r="P47" i="1"/>
  <c r="Q61" i="1"/>
  <c r="Q59" i="1"/>
  <c r="P60" i="1"/>
  <c r="Q56" i="1"/>
  <c r="P56" i="1"/>
  <c r="Q45" i="1"/>
  <c r="Q47" i="1"/>
  <c r="L8" i="1"/>
  <c r="M8" i="1" s="1"/>
  <c r="L11" i="1"/>
  <c r="M11" i="1" s="1"/>
  <c r="L10" i="1"/>
  <c r="M10" i="1" s="1"/>
  <c r="L12" i="1"/>
  <c r="M12" i="1" s="1"/>
  <c r="L15" i="1"/>
  <c r="M15" i="1" s="1"/>
  <c r="L9" i="1"/>
  <c r="M9" i="1" s="1"/>
  <c r="L6" i="1"/>
  <c r="M6" i="1" s="1"/>
  <c r="L7" i="1"/>
  <c r="M7" i="1" s="1"/>
  <c r="L13" i="1"/>
  <c r="M13" i="1" s="1"/>
  <c r="J10" i="1"/>
  <c r="N10" i="1"/>
  <c r="J12" i="1"/>
  <c r="N12" i="1"/>
  <c r="J15" i="1"/>
  <c r="N15" i="1"/>
  <c r="J9" i="1"/>
  <c r="N9" i="1"/>
  <c r="J6" i="1"/>
  <c r="N6" i="1"/>
  <c r="J7" i="1"/>
  <c r="N7" i="1"/>
  <c r="J13" i="1"/>
  <c r="N13" i="1"/>
  <c r="K3" i="1"/>
  <c r="S3" i="1" s="1"/>
  <c r="J8" i="1"/>
  <c r="N8" i="1"/>
  <c r="J11" i="1"/>
  <c r="N11" i="1"/>
  <c r="Q31" i="1" l="1"/>
  <c r="Q58" i="1"/>
  <c r="Q48" i="1"/>
  <c r="P59" i="1"/>
  <c r="P49" i="1"/>
  <c r="Q49" i="1"/>
  <c r="T59" i="1"/>
  <c r="T61" i="1"/>
  <c r="P58" i="1"/>
  <c r="P31" i="1"/>
  <c r="Q32" i="1"/>
  <c r="P32" i="1"/>
  <c r="T60" i="1"/>
  <c r="T58" i="1"/>
  <c r="Q57" i="1"/>
  <c r="P57" i="1"/>
  <c r="O25" i="1"/>
  <c r="P26" i="1" s="1"/>
  <c r="T48" i="1"/>
  <c r="O27" i="1"/>
  <c r="P28" i="1" s="1"/>
  <c r="P37" i="1"/>
  <c r="S30" i="1"/>
  <c r="S25" i="1"/>
  <c r="T49" i="1"/>
  <c r="O20" i="1"/>
  <c r="P20" i="1" s="1"/>
  <c r="Q38" i="1"/>
  <c r="O24" i="1"/>
  <c r="T43" i="1"/>
  <c r="L3" i="1"/>
  <c r="M3" i="1" s="1"/>
  <c r="O3" i="1" s="1"/>
  <c r="T46" i="1"/>
  <c r="T40" i="1"/>
  <c r="T47" i="1"/>
  <c r="T42" i="1"/>
  <c r="T41" i="1"/>
  <c r="T45" i="1"/>
  <c r="Q37" i="1"/>
  <c r="O29" i="1"/>
  <c r="S26" i="1"/>
  <c r="T44" i="1"/>
  <c r="O23" i="1"/>
  <c r="P23" i="1" s="1"/>
  <c r="S22" i="1"/>
  <c r="S21" i="1"/>
  <c r="T21" i="1" s="1"/>
  <c r="T20" i="1"/>
  <c r="Q22" i="1"/>
  <c r="P22" i="1"/>
  <c r="R56" i="1"/>
  <c r="Q26" i="1"/>
  <c r="T3" i="1"/>
  <c r="O13" i="1"/>
  <c r="O6" i="1"/>
  <c r="O15" i="1"/>
  <c r="O12" i="1"/>
  <c r="O11" i="1"/>
  <c r="O7" i="1"/>
  <c r="O9" i="1"/>
  <c r="O10" i="1"/>
  <c r="O8" i="1"/>
  <c r="L4" i="1"/>
  <c r="M4" i="1" s="1"/>
  <c r="L5" i="1"/>
  <c r="M5" i="1" s="1"/>
  <c r="J4" i="1"/>
  <c r="K4" i="1" s="1"/>
  <c r="S4" i="1" s="1"/>
  <c r="N4" i="1"/>
  <c r="J5" i="1"/>
  <c r="N5" i="1"/>
  <c r="R61" i="1" l="1"/>
  <c r="Q13" i="1"/>
  <c r="P13" i="1"/>
  <c r="P14" i="1"/>
  <c r="Q14" i="1"/>
  <c r="P15" i="1"/>
  <c r="Q15" i="1"/>
  <c r="R49" i="1"/>
  <c r="R48" i="1"/>
  <c r="R59" i="1"/>
  <c r="R57" i="1"/>
  <c r="R58" i="1"/>
  <c r="R60" i="1"/>
  <c r="Q25" i="1"/>
  <c r="P27" i="1"/>
  <c r="Q27" i="1"/>
  <c r="Q28" i="1"/>
  <c r="R37" i="1"/>
  <c r="Q30" i="1"/>
  <c r="T31" i="1"/>
  <c r="Q20" i="1"/>
  <c r="P21" i="1"/>
  <c r="Q21" i="1"/>
  <c r="R42" i="1"/>
  <c r="P25" i="1"/>
  <c r="R47" i="1"/>
  <c r="T29" i="1"/>
  <c r="R46" i="1"/>
  <c r="Q24" i="1"/>
  <c r="R43" i="1"/>
  <c r="R41" i="1"/>
  <c r="R44" i="1"/>
  <c r="R40" i="1"/>
  <c r="R45" i="1"/>
  <c r="R39" i="1"/>
  <c r="R38" i="1"/>
  <c r="P29" i="1"/>
  <c r="Q29" i="1"/>
  <c r="P30" i="1"/>
  <c r="T22" i="1"/>
  <c r="Q23" i="1"/>
  <c r="P24" i="1"/>
  <c r="T26" i="1"/>
  <c r="T30" i="1"/>
  <c r="T32" i="1"/>
  <c r="T27" i="1"/>
  <c r="T28" i="1"/>
  <c r="T25" i="1"/>
  <c r="T23" i="1"/>
  <c r="T24" i="1"/>
  <c r="Q8" i="1"/>
  <c r="P8" i="1"/>
  <c r="Q7" i="1"/>
  <c r="P7" i="1"/>
  <c r="P10" i="1"/>
  <c r="P11" i="1"/>
  <c r="Q9" i="1"/>
  <c r="P9" i="1"/>
  <c r="Q3" i="1"/>
  <c r="P3" i="1"/>
  <c r="Q12" i="1"/>
  <c r="P12" i="1"/>
  <c r="Q10" i="1"/>
  <c r="Q11" i="1"/>
  <c r="T4" i="1"/>
  <c r="O4" i="1"/>
  <c r="O5" i="1"/>
  <c r="K5" i="1"/>
  <c r="S5" i="1" s="1"/>
  <c r="T5" i="1" s="1"/>
  <c r="R31" i="1" l="1"/>
  <c r="R3" i="1"/>
  <c r="R22" i="1"/>
  <c r="R20" i="1"/>
  <c r="R21" i="1"/>
  <c r="R32" i="1"/>
  <c r="R28" i="1"/>
  <c r="R30" i="1"/>
  <c r="R25" i="1"/>
  <c r="R24" i="1"/>
  <c r="R23" i="1"/>
  <c r="R27" i="1"/>
  <c r="R26" i="1"/>
  <c r="R29" i="1"/>
  <c r="P5" i="1"/>
  <c r="Q4" i="1"/>
  <c r="R4" i="1" s="1"/>
  <c r="P4" i="1"/>
  <c r="Q6" i="1"/>
  <c r="P6" i="1"/>
  <c r="Q5" i="1"/>
  <c r="K6" i="1"/>
  <c r="S6" i="1" s="1"/>
  <c r="R14" i="1" l="1"/>
  <c r="R11" i="1"/>
  <c r="R7" i="1"/>
  <c r="R5" i="1"/>
  <c r="R12" i="1"/>
  <c r="R10" i="1"/>
  <c r="R9" i="1"/>
  <c r="R13" i="1"/>
  <c r="R6" i="1"/>
  <c r="R8" i="1"/>
  <c r="R15" i="1"/>
  <c r="T6" i="1"/>
  <c r="K7" i="1"/>
  <c r="S7" i="1" s="1"/>
  <c r="T7" i="1" s="1"/>
  <c r="K8" i="1" l="1"/>
  <c r="S8" i="1" s="1"/>
  <c r="T8" i="1" s="1"/>
  <c r="K9" i="1" l="1"/>
  <c r="S9" i="1" s="1"/>
  <c r="T9" i="1" s="1"/>
  <c r="K10" i="1" l="1"/>
  <c r="S10" i="1" s="1"/>
  <c r="T10" i="1" s="1"/>
  <c r="K11" i="1" l="1"/>
  <c r="S11" i="1" s="1"/>
  <c r="T11" i="1" s="1"/>
  <c r="K12" i="1" l="1"/>
  <c r="S12" i="1" l="1"/>
  <c r="T12" i="1" s="1"/>
  <c r="K13" i="1"/>
  <c r="S13" i="1" l="1"/>
  <c r="T13" i="1" s="1"/>
  <c r="S14" i="1"/>
  <c r="K15" i="1"/>
  <c r="S15" i="1" s="1"/>
  <c r="T14" i="1" l="1"/>
  <c r="T15" i="1"/>
</calcChain>
</file>

<file path=xl/sharedStrings.xml><?xml version="1.0" encoding="utf-8"?>
<sst xmlns="http://schemas.openxmlformats.org/spreadsheetml/2006/main" count="165" uniqueCount="56">
  <si>
    <t>Regelingloon</t>
  </si>
  <si>
    <t>Verloonde uren</t>
  </si>
  <si>
    <t>Gemiddeld SV-dagen</t>
  </si>
  <si>
    <t>Max uren per gewerkte dag</t>
  </si>
  <si>
    <t>Max uren per sv dag</t>
  </si>
  <si>
    <t>Jaar van berekening</t>
  </si>
  <si>
    <t>Aantal SV dagen in het jaar</t>
  </si>
  <si>
    <t>Jaarlijks vastgesteld door fonds</t>
  </si>
  <si>
    <t>Normuren per jaar</t>
  </si>
  <si>
    <t>afgeleid</t>
  </si>
  <si>
    <t>Franchise OP/NP</t>
  </si>
  <si>
    <t>Franchise OP/NP per uur</t>
  </si>
  <si>
    <t>afgeleid - geen afronding, in voorbeeld 5 decimalen</t>
  </si>
  <si>
    <t>Max pensioengev salaris per jaar OP/NP</t>
  </si>
  <si>
    <t>Max pensioengev salaris per uur OP/NP</t>
  </si>
  <si>
    <t>Premie % OP/NP</t>
  </si>
  <si>
    <t>Premie% VOS</t>
  </si>
  <si>
    <t>Cumulatief Regelingloon</t>
  </si>
  <si>
    <t>Cumulatief Gemiddeld SV-dagen</t>
  </si>
  <si>
    <t>Cumulatief Verloonde uren</t>
  </si>
  <si>
    <t>Cumulatief Franchise om mee te rekenen</t>
  </si>
  <si>
    <t>Cumulatief Grondslag BPS om mee te rekenen</t>
  </si>
  <si>
    <t>Cumulatief Regelingloon BPS om mee te rekenen</t>
  </si>
  <si>
    <t>Cumulatief Regelingloon VOS om mee te rekenen</t>
  </si>
  <si>
    <t>Cumulatief Max SV uren tijdvak 
(7,6u p. SV-dag)</t>
  </si>
  <si>
    <t>BPS/VOS/VPL Uren om mee te rekenen</t>
  </si>
  <si>
    <t>Cumulatief max regelingloon BPS</t>
  </si>
  <si>
    <t>Cumulatief Max regelingloon VOS</t>
  </si>
  <si>
    <t>Fulltime</t>
  </si>
  <si>
    <t>Parttime</t>
  </si>
  <si>
    <t>Premie OP/NP</t>
  </si>
  <si>
    <t>Cumulatief premie OP/NP</t>
  </si>
  <si>
    <t>Premie VOS</t>
  </si>
  <si>
    <t>Cumulatief premie VOS</t>
  </si>
  <si>
    <t>Grondslag BPS om mee te rekenen</t>
  </si>
  <si>
    <t xml:space="preserve">Verloonde uren &gt;7,6 </t>
  </si>
  <si>
    <t>Verloonde uren &gt;7,6 en salaris boven maximum</t>
  </si>
  <si>
    <t>Periode</t>
  </si>
  <si>
    <t>P2</t>
  </si>
  <si>
    <t>P1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</si>
  <si>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</si>
  <si>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</si>
  <si>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</si>
  <si>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</si>
  <si>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</si>
  <si>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</si>
  <si>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</si>
  <si>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</si>
  <si>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</si>
  <si>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</si>
  <si>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</si>
  <si>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nvt</t>
  </si>
  <si>
    <t>BPS/VOS Uren om mee te rekenen</t>
  </si>
  <si>
    <t>Max salaris per uur VOS</t>
  </si>
  <si>
    <t>Max salaris per jaar VOS</t>
  </si>
  <si>
    <t>27 februari in dienst en 13 augustus uit dienst (periode 3 tot en met 8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</si>
</sst>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.00_ ;\-#,##0.00\ "/>
    <numFmt numFmtId="165" formatCode="#,##0_ ;\-#,##0\ "/>
    <numFmt numFmtId="166" formatCode="0.00000"/>
    <numFmt numFmtId="167" formatCode="mmmm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Border="1" applyAlignment="1">
      <alignment horizontal="left" vertical="center"/>
    </xf>
    <xf numFmtId="165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44" fontId="3" fillId="2" borderId="1" xfId="1" applyFont="1" applyFill="1" applyBorder="1"/>
    <xf numFmtId="166" fontId="2" fillId="3" borderId="1" xfId="0" applyNumberFormat="1" applyFont="1" applyFill="1" applyBorder="1"/>
    <xf numFmtId="44" fontId="3" fillId="2" borderId="1" xfId="1" applyFont="1" applyFill="1" applyBorder="1" applyAlignment="1">
      <alignment horizontal="center" vertical="center"/>
    </xf>
    <xf numFmtId="44" fontId="3" fillId="2" borderId="1" xfId="1" applyNumberFormat="1" applyFont="1" applyFill="1" applyBorder="1" applyAlignment="1">
      <alignment horizontal="center" vertical="center"/>
    </xf>
    <xf numFmtId="10" fontId="3" fillId="2" borderId="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67" fontId="4" fillId="5" borderId="2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4" fontId="0" fillId="3" borderId="0" xfId="0" applyNumberFormat="1" applyFill="1"/>
    <xf numFmtId="44" fontId="0" fillId="3" borderId="0" xfId="1" applyFont="1" applyFill="1"/>
    <xf numFmtId="44" fontId="0" fillId="4" borderId="0" xfId="1" applyFont="1" applyFill="1"/>
    <xf numFmtId="2" fontId="0" fillId="4" borderId="0" xfId="0" applyNumberFormat="1" applyFill="1"/>
    <xf numFmtId="167" fontId="4" fillId="5" borderId="2" xfId="0" applyNumberFormat="1" applyFont="1" applyFill="1" applyBorder="1" applyAlignment="1">
      <alignment horizontal="center" wrapText="1"/>
    </xf>
    <xf numFmtId="0" fontId="5" fillId="0" borderId="0" xfId="0" applyFont="1"/>
    <xf numFmtId="44" fontId="0" fillId="0" borderId="0" xfId="0" applyNumberFormat="1"/>
    <xf numFmtId="44" fontId="0" fillId="0" borderId="0" xfId="1" applyFont="1"/>
    <xf numFmtId="44" fontId="4" fillId="5" borderId="2" xfId="1" applyFont="1" applyFill="1" applyBorder="1" applyAlignment="1">
      <alignment horizontal="center" wrapText="1"/>
    </xf>
    <xf numFmtId="44" fontId="0" fillId="3" borderId="0" xfId="0" applyNumberFormat="1" applyFill="1"/>
    <xf numFmtId="166" fontId="0" fillId="6" borderId="0" xfId="0" applyNumberFormat="1" applyFill="1"/>
    <xf numFmtId="44" fontId="0" fillId="6" borderId="0" xfId="1" applyFont="1" applyFill="1"/>
    <xf numFmtId="44" fontId="0" fillId="4" borderId="0" xfId="0" applyNumberFormat="1" applyFill="1"/>
    <xf numFmtId="0" fontId="0" fillId="0" borderId="0" xfId="0" applyFill="1"/>
  </cellXfs>
  <cellStyles count="5">
    <cellStyle name="Komma 2" xfId="4" xr:uid="{00000000-0005-0000-0000-000000000000}"/>
    <cellStyle name="Komma 3" xfId="3" xr:uid="{00000000-0005-0000-0000-000001000000}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6"/>
  <sheetViews>
    <sheetView tabSelected="1" topLeftCell="A35" zoomScaleNormal="100" workbookViewId="0">
      <selection activeCell="H67" sqref="H67"/>
    </sheetView>
  </sheetViews>
  <sheetFormatPr defaultRowHeight="15" x14ac:dyDescent="0.25"/>
  <cols>
    <col min="1" max="1" width="13.42578125" customWidth="1"/>
    <col min="2" max="11" width="13.5703125" customWidth="1"/>
    <col min="12" max="13" width="13.5703125" style="3" customWidth="1"/>
    <col min="14" max="15" width="13.5703125" customWidth="1"/>
    <col min="16" max="16" width="13.5703125" style="3" customWidth="1"/>
    <col min="17" max="17" width="13.5703125" style="22" customWidth="1"/>
    <col min="18" max="22" width="13.5703125" customWidth="1"/>
  </cols>
  <sheetData>
    <row r="1" spans="1:26" s="3" customFormat="1" x14ac:dyDescent="0.25">
      <c r="A1" s="3" t="s">
        <v>28</v>
      </c>
      <c r="B1" s="3" t="s">
        <v>35</v>
      </c>
      <c r="Q1" s="22"/>
    </row>
    <row r="2" spans="1:26" s="20" customFormat="1" ht="51.75" x14ac:dyDescent="0.25">
      <c r="A2" s="19" t="s">
        <v>37</v>
      </c>
      <c r="B2" s="19" t="s">
        <v>0</v>
      </c>
      <c r="C2" s="19" t="s">
        <v>17</v>
      </c>
      <c r="D2" s="19" t="s">
        <v>1</v>
      </c>
      <c r="E2" s="19" t="s">
        <v>19</v>
      </c>
      <c r="F2" s="19" t="s">
        <v>2</v>
      </c>
      <c r="G2" s="19" t="s">
        <v>18</v>
      </c>
      <c r="H2" s="19" t="s">
        <v>24</v>
      </c>
      <c r="I2" s="19" t="s">
        <v>52</v>
      </c>
      <c r="J2" s="19" t="s">
        <v>27</v>
      </c>
      <c r="K2" s="19" t="s">
        <v>23</v>
      </c>
      <c r="L2" s="19" t="s">
        <v>26</v>
      </c>
      <c r="M2" s="19" t="s">
        <v>22</v>
      </c>
      <c r="N2" s="19" t="s">
        <v>20</v>
      </c>
      <c r="O2" s="19" t="s">
        <v>21</v>
      </c>
      <c r="P2" s="19" t="s">
        <v>34</v>
      </c>
      <c r="Q2" s="23" t="s">
        <v>30</v>
      </c>
      <c r="R2" s="19" t="s">
        <v>31</v>
      </c>
      <c r="S2" s="23" t="s">
        <v>32</v>
      </c>
      <c r="T2" s="19" t="s">
        <v>33</v>
      </c>
    </row>
    <row r="3" spans="1:26" x14ac:dyDescent="0.25">
      <c r="A3" s="13" t="s">
        <v>39</v>
      </c>
      <c r="B3" s="17">
        <v>2312.35</v>
      </c>
      <c r="C3" s="16">
        <f>B3</f>
        <v>2312.35</v>
      </c>
      <c r="D3" s="18">
        <v>198</v>
      </c>
      <c r="E3" s="15">
        <f>SUM($D$3:D3)</f>
        <v>198</v>
      </c>
      <c r="F3" s="14">
        <v>20</v>
      </c>
      <c r="G3" s="15">
        <f>SUM($F$3:F3)</f>
        <v>20</v>
      </c>
      <c r="H3" s="14">
        <f t="shared" ref="H3:H15" si="0">G3*Max_uren_per_sv_dag</f>
        <v>152</v>
      </c>
      <c r="I3" s="25">
        <f>MIN(H3,E3)</f>
        <v>152</v>
      </c>
      <c r="J3" s="15">
        <f>I3*Parameters!$B$11</f>
        <v>5150.461538461539</v>
      </c>
      <c r="K3" s="26">
        <f t="shared" ref="K3:K15" si="1">MIN(J3,C3)</f>
        <v>2312.35</v>
      </c>
      <c r="L3" s="16">
        <f t="shared" ref="L3:L15" si="2">I3*Max_pensioengev_salaris_per_uur_OP_NP</f>
        <v>9908.461538461539</v>
      </c>
      <c r="M3" s="26">
        <f t="shared" ref="M3:M15" si="3">MIN(L3,C3)</f>
        <v>2312.35</v>
      </c>
      <c r="N3" s="16">
        <f t="shared" ref="N3:N15" si="4">I3*Franchise_OP_NP_per_uur</f>
        <v>1255.5384615384617</v>
      </c>
      <c r="O3" s="16">
        <f t="shared" ref="O3:O15" si="5">IF(M3-N3&lt;0,0,M3-N3)</f>
        <v>1056.8115384615382</v>
      </c>
      <c r="P3" s="17">
        <f>O3</f>
        <v>1056.8115384615382</v>
      </c>
      <c r="Q3" s="17">
        <f>O3*Premie___OP_NP</f>
        <v>299.07766538461527</v>
      </c>
      <c r="R3" s="24">
        <f>SUM($Q$3:Q3)</f>
        <v>299.07766538461527</v>
      </c>
      <c r="S3" s="27">
        <f>K3*Premie__VOS</f>
        <v>9.2493999999999996</v>
      </c>
      <c r="T3" s="24">
        <f>SUM($S$3:S3)</f>
        <v>9.2493999999999996</v>
      </c>
      <c r="U3" s="28"/>
      <c r="V3" s="28"/>
      <c r="W3" s="28"/>
      <c r="X3" s="28"/>
      <c r="Y3" s="28"/>
      <c r="Z3" s="28"/>
    </row>
    <row r="4" spans="1:26" x14ac:dyDescent="0.25">
      <c r="A4" s="13" t="s">
        <v>38</v>
      </c>
      <c r="B4" s="17">
        <v>2400</v>
      </c>
      <c r="C4" s="16">
        <f t="shared" ref="C4:C13" si="6">C3+B4</f>
        <v>4712.3500000000004</v>
      </c>
      <c r="D4" s="18">
        <v>140</v>
      </c>
      <c r="E4" s="15">
        <f>SUM($D$3:D4)</f>
        <v>338</v>
      </c>
      <c r="F4" s="14">
        <v>20</v>
      </c>
      <c r="G4" s="15">
        <f>SUM($F$3:F4)</f>
        <v>40</v>
      </c>
      <c r="H4" s="14">
        <f t="shared" si="0"/>
        <v>304</v>
      </c>
      <c r="I4" s="25">
        <f t="shared" ref="I4:I15" si="7">MIN(H4,E4)</f>
        <v>304</v>
      </c>
      <c r="J4" s="15">
        <f>I4*Parameters!$B$11</f>
        <v>10300.923076923078</v>
      </c>
      <c r="K4" s="26">
        <f t="shared" si="1"/>
        <v>4712.3500000000004</v>
      </c>
      <c r="L4" s="16">
        <f t="shared" si="2"/>
        <v>19816.923076923078</v>
      </c>
      <c r="M4" s="26">
        <f t="shared" si="3"/>
        <v>4712.3500000000004</v>
      </c>
      <c r="N4" s="16">
        <f t="shared" si="4"/>
        <v>2511.0769230769233</v>
      </c>
      <c r="O4" s="16">
        <f t="shared" si="5"/>
        <v>2201.273076923077</v>
      </c>
      <c r="P4" s="17">
        <f t="shared" ref="P4:P15" si="8">O4-O3</f>
        <v>1144.4615384615388</v>
      </c>
      <c r="Q4" s="17">
        <f t="shared" ref="Q4:Q15" si="9">(O4-O3)*Premie___OP_NP</f>
        <v>323.88261538461546</v>
      </c>
      <c r="R4" s="24">
        <f>SUM($Q$3:Q4)</f>
        <v>622.96028076923074</v>
      </c>
      <c r="S4" s="27">
        <f t="shared" ref="S4:S15" si="10">(K4-K3)*Premie__VOS</f>
        <v>9.6000000000000014</v>
      </c>
      <c r="T4" s="24">
        <f>SUM($S$3:S4)</f>
        <v>18.849400000000003</v>
      </c>
    </row>
    <row r="5" spans="1:26" x14ac:dyDescent="0.25">
      <c r="A5" s="13" t="s">
        <v>40</v>
      </c>
      <c r="B5" s="17">
        <v>2400</v>
      </c>
      <c r="C5" s="16">
        <f t="shared" si="6"/>
        <v>7112.35</v>
      </c>
      <c r="D5" s="18">
        <v>155</v>
      </c>
      <c r="E5" s="15">
        <f>SUM($D$3:D5)</f>
        <v>493</v>
      </c>
      <c r="F5" s="14">
        <v>20</v>
      </c>
      <c r="G5" s="15">
        <f>SUM($F$3:F5)</f>
        <v>60</v>
      </c>
      <c r="H5" s="14">
        <f t="shared" si="0"/>
        <v>456</v>
      </c>
      <c r="I5" s="25">
        <f t="shared" si="7"/>
        <v>456</v>
      </c>
      <c r="J5" s="15">
        <f>I5*Parameters!$B$11</f>
        <v>15451.384615384617</v>
      </c>
      <c r="K5" s="26">
        <f t="shared" si="1"/>
        <v>7112.35</v>
      </c>
      <c r="L5" s="16">
        <f t="shared" si="2"/>
        <v>29725.384615384617</v>
      </c>
      <c r="M5" s="26">
        <f t="shared" si="3"/>
        <v>7112.35</v>
      </c>
      <c r="N5" s="16">
        <f t="shared" si="4"/>
        <v>3766.6153846153848</v>
      </c>
      <c r="O5" s="16">
        <f t="shared" si="5"/>
        <v>3345.7346153846156</v>
      </c>
      <c r="P5" s="17">
        <f t="shared" si="8"/>
        <v>1144.4615384615386</v>
      </c>
      <c r="Q5" s="17">
        <f t="shared" si="9"/>
        <v>323.88261538461541</v>
      </c>
      <c r="R5" s="24">
        <f>SUM($Q$3:Q5)</f>
        <v>946.84289615384614</v>
      </c>
      <c r="S5" s="27">
        <f t="shared" si="10"/>
        <v>9.6</v>
      </c>
      <c r="T5" s="24">
        <f>SUM($S$3:S5)</f>
        <v>28.449400000000004</v>
      </c>
    </row>
    <row r="6" spans="1:26" x14ac:dyDescent="0.25">
      <c r="A6" s="13" t="s">
        <v>41</v>
      </c>
      <c r="B6" s="17">
        <v>3000</v>
      </c>
      <c r="C6" s="16">
        <f t="shared" si="6"/>
        <v>10112.35</v>
      </c>
      <c r="D6" s="18">
        <v>220</v>
      </c>
      <c r="E6" s="15">
        <f>SUM($D$3:D6)</f>
        <v>713</v>
      </c>
      <c r="F6" s="14">
        <v>20</v>
      </c>
      <c r="G6" s="15">
        <f>SUM($F$3:F6)</f>
        <v>80</v>
      </c>
      <c r="H6" s="14">
        <f t="shared" si="0"/>
        <v>608</v>
      </c>
      <c r="I6" s="25">
        <f t="shared" si="7"/>
        <v>608</v>
      </c>
      <c r="J6" s="15">
        <f>I6*Parameters!$B$11</f>
        <v>20601.846153846156</v>
      </c>
      <c r="K6" s="26">
        <f t="shared" si="1"/>
        <v>10112.35</v>
      </c>
      <c r="L6" s="16">
        <f t="shared" si="2"/>
        <v>39633.846153846156</v>
      </c>
      <c r="M6" s="26">
        <f t="shared" si="3"/>
        <v>10112.35</v>
      </c>
      <c r="N6" s="16">
        <f t="shared" si="4"/>
        <v>5022.1538461538466</v>
      </c>
      <c r="O6" s="16">
        <f t="shared" si="5"/>
        <v>5090.1961538461537</v>
      </c>
      <c r="P6" s="17">
        <f t="shared" si="8"/>
        <v>1744.4615384615381</v>
      </c>
      <c r="Q6" s="17">
        <f t="shared" si="9"/>
        <v>493.68261538461525</v>
      </c>
      <c r="R6" s="24">
        <f>SUM($Q$3:Q6)</f>
        <v>1440.5255115384614</v>
      </c>
      <c r="S6" s="27">
        <f t="shared" si="10"/>
        <v>12</v>
      </c>
      <c r="T6" s="24">
        <f>SUM($S$3:S6)</f>
        <v>40.449400000000004</v>
      </c>
      <c r="U6" s="21"/>
    </row>
    <row r="7" spans="1:26" x14ac:dyDescent="0.25">
      <c r="A7" s="13" t="s">
        <v>42</v>
      </c>
      <c r="B7" s="17">
        <v>5700</v>
      </c>
      <c r="C7" s="16">
        <f t="shared" si="6"/>
        <v>15812.35</v>
      </c>
      <c r="D7" s="18">
        <v>80</v>
      </c>
      <c r="E7" s="15">
        <f>SUM($D$3:D7)</f>
        <v>793</v>
      </c>
      <c r="F7" s="14">
        <v>20</v>
      </c>
      <c r="G7" s="15">
        <f>SUM($F$3:F7)</f>
        <v>100</v>
      </c>
      <c r="H7" s="14">
        <f t="shared" si="0"/>
        <v>760</v>
      </c>
      <c r="I7" s="25">
        <f t="shared" si="7"/>
        <v>760</v>
      </c>
      <c r="J7" s="15">
        <f>I7*Parameters!$B$11</f>
        <v>25752.307692307695</v>
      </c>
      <c r="K7" s="26">
        <f t="shared" si="1"/>
        <v>15812.35</v>
      </c>
      <c r="L7" s="16">
        <f t="shared" si="2"/>
        <v>49542.307692307695</v>
      </c>
      <c r="M7" s="26">
        <f t="shared" si="3"/>
        <v>15812.35</v>
      </c>
      <c r="N7" s="16">
        <f t="shared" si="4"/>
        <v>6277.6923076923076</v>
      </c>
      <c r="O7" s="16">
        <f t="shared" si="5"/>
        <v>9534.6576923076937</v>
      </c>
      <c r="P7" s="17">
        <f t="shared" si="8"/>
        <v>4444.4615384615399</v>
      </c>
      <c r="Q7" s="17">
        <f t="shared" si="9"/>
        <v>1257.7826153846156</v>
      </c>
      <c r="R7" s="24">
        <f>SUM($Q$3:Q7)</f>
        <v>2698.308126923077</v>
      </c>
      <c r="S7" s="27">
        <f t="shared" si="10"/>
        <v>22.8</v>
      </c>
      <c r="T7" s="24">
        <f>SUM($S$3:S7)</f>
        <v>63.249400000000009</v>
      </c>
    </row>
    <row r="8" spans="1:26" x14ac:dyDescent="0.25">
      <c r="A8" s="13" t="s">
        <v>43</v>
      </c>
      <c r="B8" s="17">
        <v>2700</v>
      </c>
      <c r="C8" s="16">
        <f t="shared" si="6"/>
        <v>18512.349999999999</v>
      </c>
      <c r="D8" s="18">
        <v>161</v>
      </c>
      <c r="E8" s="15">
        <f>SUM($D$3:D8)</f>
        <v>954</v>
      </c>
      <c r="F8" s="14">
        <v>20</v>
      </c>
      <c r="G8" s="15">
        <f>SUM($F$3:F8)</f>
        <v>120</v>
      </c>
      <c r="H8" s="14">
        <f t="shared" si="0"/>
        <v>912</v>
      </c>
      <c r="I8" s="25">
        <f t="shared" si="7"/>
        <v>912</v>
      </c>
      <c r="J8" s="15">
        <f>I8*Parameters!$B$11</f>
        <v>30902.769230769234</v>
      </c>
      <c r="K8" s="26">
        <f t="shared" si="1"/>
        <v>18512.349999999999</v>
      </c>
      <c r="L8" s="16">
        <f t="shared" si="2"/>
        <v>59450.769230769234</v>
      </c>
      <c r="M8" s="26">
        <f t="shared" si="3"/>
        <v>18512.349999999999</v>
      </c>
      <c r="N8" s="16">
        <f t="shared" si="4"/>
        <v>7533.2307692307695</v>
      </c>
      <c r="O8" s="16">
        <f t="shared" si="5"/>
        <v>10979.119230769229</v>
      </c>
      <c r="P8" s="17">
        <f t="shared" si="8"/>
        <v>1444.4615384615354</v>
      </c>
      <c r="Q8" s="17">
        <f t="shared" si="9"/>
        <v>408.78261538461447</v>
      </c>
      <c r="R8" s="24">
        <f>SUM($Q$3:Q8)</f>
        <v>3107.0907423076915</v>
      </c>
      <c r="S8" s="27">
        <f t="shared" si="10"/>
        <v>10.799999999999994</v>
      </c>
      <c r="T8" s="24">
        <f>SUM($S$3:S8)</f>
        <v>74.049400000000006</v>
      </c>
    </row>
    <row r="9" spans="1:26" x14ac:dyDescent="0.25">
      <c r="A9" s="13" t="s">
        <v>44</v>
      </c>
      <c r="B9" s="17">
        <v>2700</v>
      </c>
      <c r="C9" s="16">
        <f t="shared" si="6"/>
        <v>21212.35</v>
      </c>
      <c r="D9" s="18">
        <v>152</v>
      </c>
      <c r="E9" s="15">
        <f>SUM($D$3:D9)</f>
        <v>1106</v>
      </c>
      <c r="F9" s="14">
        <v>20</v>
      </c>
      <c r="G9" s="15">
        <f>SUM($F$3:F9)</f>
        <v>140</v>
      </c>
      <c r="H9" s="14">
        <f t="shared" si="0"/>
        <v>1064</v>
      </c>
      <c r="I9" s="25">
        <f t="shared" si="7"/>
        <v>1064</v>
      </c>
      <c r="J9" s="15">
        <f>I9*Parameters!$B$11</f>
        <v>36053.230769230773</v>
      </c>
      <c r="K9" s="26">
        <f t="shared" si="1"/>
        <v>21212.35</v>
      </c>
      <c r="L9" s="16">
        <f t="shared" si="2"/>
        <v>69359.23076923078</v>
      </c>
      <c r="M9" s="26">
        <f t="shared" si="3"/>
        <v>21212.35</v>
      </c>
      <c r="N9" s="16">
        <f t="shared" si="4"/>
        <v>8788.7692307692305</v>
      </c>
      <c r="O9" s="16">
        <f t="shared" si="5"/>
        <v>12423.580769230768</v>
      </c>
      <c r="P9" s="17">
        <f t="shared" si="8"/>
        <v>1444.461538461539</v>
      </c>
      <c r="Q9" s="17">
        <f t="shared" si="9"/>
        <v>408.7826153846155</v>
      </c>
      <c r="R9" s="24">
        <f>SUM($Q$3:Q9)</f>
        <v>3515.8733576923069</v>
      </c>
      <c r="S9" s="27">
        <f t="shared" si="10"/>
        <v>10.8</v>
      </c>
      <c r="T9" s="24">
        <f>SUM($S$3:S9)</f>
        <v>84.849400000000003</v>
      </c>
    </row>
    <row r="10" spans="1:26" x14ac:dyDescent="0.25">
      <c r="A10" s="13" t="s">
        <v>45</v>
      </c>
      <c r="B10" s="17">
        <v>2700</v>
      </c>
      <c r="C10" s="16">
        <f t="shared" si="6"/>
        <v>23912.35</v>
      </c>
      <c r="D10" s="18">
        <v>152</v>
      </c>
      <c r="E10" s="15">
        <f>SUM($D$3:D10)</f>
        <v>1258</v>
      </c>
      <c r="F10" s="14">
        <v>20</v>
      </c>
      <c r="G10" s="15">
        <f>SUM($F$3:F10)</f>
        <v>160</v>
      </c>
      <c r="H10" s="14">
        <f t="shared" si="0"/>
        <v>1216</v>
      </c>
      <c r="I10" s="25">
        <f t="shared" si="7"/>
        <v>1216</v>
      </c>
      <c r="J10" s="15">
        <f>I10*Parameters!$B$11</f>
        <v>41203.692307692312</v>
      </c>
      <c r="K10" s="26">
        <f t="shared" si="1"/>
        <v>23912.35</v>
      </c>
      <c r="L10" s="16">
        <f t="shared" si="2"/>
        <v>79267.692307692312</v>
      </c>
      <c r="M10" s="26">
        <f t="shared" si="3"/>
        <v>23912.35</v>
      </c>
      <c r="N10" s="16">
        <f t="shared" si="4"/>
        <v>10044.307692307693</v>
      </c>
      <c r="O10" s="16">
        <f t="shared" si="5"/>
        <v>13868.042307692305</v>
      </c>
      <c r="P10" s="17">
        <f t="shared" si="8"/>
        <v>1444.4615384615372</v>
      </c>
      <c r="Q10" s="17">
        <f t="shared" si="9"/>
        <v>408.78261538461499</v>
      </c>
      <c r="R10" s="24">
        <f>SUM($Q$3:Q10)</f>
        <v>3924.6559730769218</v>
      </c>
      <c r="S10" s="27">
        <f t="shared" si="10"/>
        <v>10.8</v>
      </c>
      <c r="T10" s="24">
        <f>SUM($S$3:S10)</f>
        <v>95.6494</v>
      </c>
    </row>
    <row r="11" spans="1:26" x14ac:dyDescent="0.25">
      <c r="A11" s="13" t="s">
        <v>46</v>
      </c>
      <c r="B11" s="17">
        <v>2700</v>
      </c>
      <c r="C11" s="16">
        <f t="shared" si="6"/>
        <v>26612.35</v>
      </c>
      <c r="D11" s="18">
        <v>152</v>
      </c>
      <c r="E11" s="15">
        <f>SUM($D$3:D11)</f>
        <v>1410</v>
      </c>
      <c r="F11" s="14">
        <v>20</v>
      </c>
      <c r="G11" s="15">
        <f>SUM($F$3:F11)</f>
        <v>180</v>
      </c>
      <c r="H11" s="14">
        <f t="shared" si="0"/>
        <v>1368</v>
      </c>
      <c r="I11" s="25">
        <f t="shared" si="7"/>
        <v>1368</v>
      </c>
      <c r="J11" s="15">
        <f>I11*Parameters!$B$11</f>
        <v>46354.153846153851</v>
      </c>
      <c r="K11" s="26">
        <f t="shared" si="1"/>
        <v>26612.35</v>
      </c>
      <c r="L11" s="16">
        <f t="shared" si="2"/>
        <v>89176.153846153844</v>
      </c>
      <c r="M11" s="26">
        <f t="shared" si="3"/>
        <v>26612.35</v>
      </c>
      <c r="N11" s="16">
        <f t="shared" si="4"/>
        <v>11299.846153846154</v>
      </c>
      <c r="O11" s="16">
        <f t="shared" si="5"/>
        <v>15312.503846153844</v>
      </c>
      <c r="P11" s="17">
        <f t="shared" si="8"/>
        <v>1444.461538461539</v>
      </c>
      <c r="Q11" s="17">
        <f t="shared" si="9"/>
        <v>408.7826153846155</v>
      </c>
      <c r="R11" s="24">
        <f>SUM($Q$3:Q11)</f>
        <v>4333.4385884615376</v>
      </c>
      <c r="S11" s="27">
        <f t="shared" si="10"/>
        <v>10.8</v>
      </c>
      <c r="T11" s="24">
        <f>SUM($S$3:S11)</f>
        <v>106.4494</v>
      </c>
    </row>
    <row r="12" spans="1:26" x14ac:dyDescent="0.25">
      <c r="A12" s="13" t="s">
        <v>47</v>
      </c>
      <c r="B12" s="17">
        <v>2700</v>
      </c>
      <c r="C12" s="16">
        <f t="shared" si="6"/>
        <v>29312.35</v>
      </c>
      <c r="D12" s="18">
        <v>198</v>
      </c>
      <c r="E12" s="15">
        <f>SUM($D$3:D12)</f>
        <v>1608</v>
      </c>
      <c r="F12" s="14">
        <v>20</v>
      </c>
      <c r="G12" s="15">
        <f>SUM($F$3:F12)</f>
        <v>200</v>
      </c>
      <c r="H12" s="14">
        <f t="shared" si="0"/>
        <v>1520</v>
      </c>
      <c r="I12" s="25">
        <f t="shared" si="7"/>
        <v>1520</v>
      </c>
      <c r="J12" s="15">
        <f>I12*Parameters!$B$11</f>
        <v>51504.61538461539</v>
      </c>
      <c r="K12" s="26">
        <f t="shared" si="1"/>
        <v>29312.35</v>
      </c>
      <c r="L12" s="16">
        <f t="shared" si="2"/>
        <v>99084.61538461539</v>
      </c>
      <c r="M12" s="26">
        <f t="shared" si="3"/>
        <v>29312.35</v>
      </c>
      <c r="N12" s="16">
        <f t="shared" si="4"/>
        <v>12555.384615384615</v>
      </c>
      <c r="O12" s="16">
        <f t="shared" si="5"/>
        <v>16756.965384615381</v>
      </c>
      <c r="P12" s="17">
        <f t="shared" si="8"/>
        <v>1444.4615384615372</v>
      </c>
      <c r="Q12" s="17">
        <f t="shared" si="9"/>
        <v>408.78261538461499</v>
      </c>
      <c r="R12" s="24">
        <f>SUM($Q$3:Q12)</f>
        <v>4742.221203846153</v>
      </c>
      <c r="S12" s="27">
        <f t="shared" si="10"/>
        <v>10.8</v>
      </c>
      <c r="T12" s="24">
        <f>SUM($S$3:S12)</f>
        <v>117.24939999999999</v>
      </c>
    </row>
    <row r="13" spans="1:26" x14ac:dyDescent="0.25">
      <c r="A13" s="13" t="s">
        <v>48</v>
      </c>
      <c r="B13" s="17">
        <v>2700</v>
      </c>
      <c r="C13" s="16">
        <f t="shared" si="6"/>
        <v>32012.35</v>
      </c>
      <c r="D13" s="18">
        <v>198</v>
      </c>
      <c r="E13" s="15">
        <f>SUM($D$3:D13)</f>
        <v>1806</v>
      </c>
      <c r="F13" s="14">
        <v>20</v>
      </c>
      <c r="G13" s="15">
        <f>SUM($F$3:F13)</f>
        <v>220</v>
      </c>
      <c r="H13" s="14">
        <f t="shared" si="0"/>
        <v>1672</v>
      </c>
      <c r="I13" s="25">
        <f t="shared" si="7"/>
        <v>1672</v>
      </c>
      <c r="J13" s="15">
        <f>I13*Parameters!$B$11</f>
        <v>56655.076923076929</v>
      </c>
      <c r="K13" s="26">
        <f t="shared" si="1"/>
        <v>32012.35</v>
      </c>
      <c r="L13" s="16">
        <f t="shared" si="2"/>
        <v>108993.07692307694</v>
      </c>
      <c r="M13" s="26">
        <f t="shared" si="3"/>
        <v>32012.35</v>
      </c>
      <c r="N13" s="16">
        <f t="shared" si="4"/>
        <v>13810.923076923078</v>
      </c>
      <c r="O13" s="16">
        <f t="shared" si="5"/>
        <v>18201.426923076921</v>
      </c>
      <c r="P13" s="17">
        <f t="shared" si="8"/>
        <v>1444.461538461539</v>
      </c>
      <c r="Q13" s="17">
        <f t="shared" si="9"/>
        <v>408.7826153846155</v>
      </c>
      <c r="R13" s="24">
        <f>SUM($Q$3:Q13)</f>
        <v>5151.0038192307684</v>
      </c>
      <c r="S13" s="27">
        <f t="shared" si="10"/>
        <v>10.8</v>
      </c>
      <c r="T13" s="24">
        <f>SUM($S$3:S13)</f>
        <v>128.04939999999999</v>
      </c>
    </row>
    <row r="14" spans="1:26" s="3" customFormat="1" x14ac:dyDescent="0.25">
      <c r="A14" s="13" t="s">
        <v>49</v>
      </c>
      <c r="B14" s="17">
        <v>5000</v>
      </c>
      <c r="C14" s="16">
        <f>C12+B14</f>
        <v>34312.35</v>
      </c>
      <c r="D14" s="18">
        <v>198</v>
      </c>
      <c r="E14" s="15">
        <f>SUM($D$3:D14)</f>
        <v>2004</v>
      </c>
      <c r="F14" s="14">
        <v>20</v>
      </c>
      <c r="G14" s="15">
        <f>SUM($F$3:F14)</f>
        <v>240</v>
      </c>
      <c r="H14" s="14">
        <f t="shared" si="0"/>
        <v>1824</v>
      </c>
      <c r="I14" s="25">
        <f t="shared" ref="I14" si="11">MIN(H14,E14)</f>
        <v>1824</v>
      </c>
      <c r="J14" s="15">
        <f>I14*Parameters!$B$11</f>
        <v>61805.538461538468</v>
      </c>
      <c r="K14" s="26">
        <f t="shared" ref="K14" si="12">MIN(J14,C14)</f>
        <v>34312.35</v>
      </c>
      <c r="L14" s="16">
        <f t="shared" ref="L14" si="13">I14*Max_pensioengev_salaris_per_uur_OP_NP</f>
        <v>118901.53846153847</v>
      </c>
      <c r="M14" s="26">
        <f t="shared" ref="M14" si="14">MIN(L14,C14)</f>
        <v>34312.35</v>
      </c>
      <c r="N14" s="16">
        <f t="shared" si="4"/>
        <v>15066.461538461539</v>
      </c>
      <c r="O14" s="16">
        <f t="shared" si="5"/>
        <v>19245.88846153846</v>
      </c>
      <c r="P14" s="17">
        <f t="shared" si="8"/>
        <v>1044.461538461539</v>
      </c>
      <c r="Q14" s="17">
        <f t="shared" si="9"/>
        <v>295.58261538461551</v>
      </c>
      <c r="R14" s="24">
        <f>SUM($Q$3:Q14)</f>
        <v>5446.586434615384</v>
      </c>
      <c r="S14" s="27">
        <f t="shared" si="10"/>
        <v>9.2000000000000011</v>
      </c>
      <c r="T14" s="24">
        <f>SUM($S$3:S14)</f>
        <v>137.24939999999998</v>
      </c>
    </row>
    <row r="15" spans="1:26" x14ac:dyDescent="0.25">
      <c r="A15" s="13" t="s">
        <v>50</v>
      </c>
      <c r="B15" s="17">
        <v>5000</v>
      </c>
      <c r="C15" s="16">
        <f>C13+B15</f>
        <v>37012.35</v>
      </c>
      <c r="D15" s="18">
        <v>198</v>
      </c>
      <c r="E15" s="15">
        <f>SUM($D$3:D15)</f>
        <v>2202</v>
      </c>
      <c r="F15" s="14">
        <v>20</v>
      </c>
      <c r="G15" s="15">
        <f>SUM($F$3:F15)</f>
        <v>260</v>
      </c>
      <c r="H15" s="14">
        <f t="shared" si="0"/>
        <v>1976</v>
      </c>
      <c r="I15" s="25">
        <f t="shared" si="7"/>
        <v>1976</v>
      </c>
      <c r="J15" s="15">
        <f>I15*Parameters!$B$11</f>
        <v>66956</v>
      </c>
      <c r="K15" s="26">
        <f t="shared" si="1"/>
        <v>37012.35</v>
      </c>
      <c r="L15" s="16">
        <f t="shared" si="2"/>
        <v>128810</v>
      </c>
      <c r="M15" s="26">
        <f t="shared" si="3"/>
        <v>37012.35</v>
      </c>
      <c r="N15" s="16">
        <f t="shared" si="4"/>
        <v>16322</v>
      </c>
      <c r="O15" s="16">
        <f t="shared" si="5"/>
        <v>20690.349999999999</v>
      </c>
      <c r="P15" s="17">
        <f t="shared" si="8"/>
        <v>1444.461538461539</v>
      </c>
      <c r="Q15" s="17">
        <f t="shared" si="9"/>
        <v>408.7826153846155</v>
      </c>
      <c r="R15" s="24">
        <f>SUM($Q$3:Q15)</f>
        <v>5855.3690499999993</v>
      </c>
      <c r="S15" s="27">
        <f t="shared" si="10"/>
        <v>10.8</v>
      </c>
      <c r="T15" s="24">
        <f>SUM($S$3:S15)</f>
        <v>148.04939999999999</v>
      </c>
    </row>
    <row r="16" spans="1:26" x14ac:dyDescent="0.25">
      <c r="R16" s="3"/>
    </row>
    <row r="17" spans="1:20" s="3" customFormat="1" x14ac:dyDescent="0.25">
      <c r="Q17" s="22"/>
    </row>
    <row r="18" spans="1:20" s="3" customFormat="1" x14ac:dyDescent="0.25">
      <c r="A18" s="3" t="s">
        <v>28</v>
      </c>
      <c r="B18" s="3" t="s">
        <v>36</v>
      </c>
      <c r="Q18" s="22"/>
    </row>
    <row r="19" spans="1:20" s="20" customFormat="1" ht="51.75" x14ac:dyDescent="0.25">
      <c r="A19" s="19" t="s">
        <v>37</v>
      </c>
      <c r="B19" s="19" t="s">
        <v>0</v>
      </c>
      <c r="C19" s="19" t="s">
        <v>17</v>
      </c>
      <c r="D19" s="19" t="s">
        <v>1</v>
      </c>
      <c r="E19" s="19" t="s">
        <v>19</v>
      </c>
      <c r="F19" s="19" t="s">
        <v>2</v>
      </c>
      <c r="G19" s="19" t="s">
        <v>18</v>
      </c>
      <c r="H19" s="19" t="s">
        <v>24</v>
      </c>
      <c r="I19" s="19" t="s">
        <v>52</v>
      </c>
      <c r="J19" s="19" t="s">
        <v>27</v>
      </c>
      <c r="K19" s="19" t="s">
        <v>23</v>
      </c>
      <c r="L19" s="19" t="s">
        <v>26</v>
      </c>
      <c r="M19" s="19" t="s">
        <v>22</v>
      </c>
      <c r="N19" s="19" t="s">
        <v>20</v>
      </c>
      <c r="O19" s="19" t="s">
        <v>21</v>
      </c>
      <c r="P19" s="19" t="s">
        <v>34</v>
      </c>
      <c r="Q19" s="23" t="s">
        <v>30</v>
      </c>
      <c r="R19" s="19" t="s">
        <v>31</v>
      </c>
      <c r="S19" s="23" t="s">
        <v>32</v>
      </c>
      <c r="T19" s="19" t="s">
        <v>33</v>
      </c>
    </row>
    <row r="20" spans="1:20" s="3" customFormat="1" x14ac:dyDescent="0.25">
      <c r="A20" s="13" t="s">
        <v>39</v>
      </c>
      <c r="B20" s="17">
        <v>9000</v>
      </c>
      <c r="C20" s="16">
        <f>B20</f>
        <v>9000</v>
      </c>
      <c r="D20" s="18">
        <v>198</v>
      </c>
      <c r="E20" s="15">
        <f>SUM($D$20:D20)</f>
        <v>198</v>
      </c>
      <c r="F20" s="14">
        <v>20</v>
      </c>
      <c r="G20" s="15">
        <f>SUM($F$20:F20)</f>
        <v>20</v>
      </c>
      <c r="H20" s="14">
        <f t="shared" ref="H20:H32" si="15">G20*Max_uren_per_sv_dag</f>
        <v>152</v>
      </c>
      <c r="I20" s="25">
        <f>MIN(H20,E20)</f>
        <v>152</v>
      </c>
      <c r="J20" s="15">
        <f>I20*Parameters!$B$11</f>
        <v>5150.461538461539</v>
      </c>
      <c r="K20" s="26">
        <f t="shared" ref="K20:K32" si="16">MIN(J20,C20)</f>
        <v>5150.461538461539</v>
      </c>
      <c r="L20" s="16">
        <f>I20*Max_pensioengev_salaris_per_uur_OP_NP</f>
        <v>9908.461538461539</v>
      </c>
      <c r="M20" s="26">
        <f t="shared" ref="M20:M32" si="17">MIN(L20,C20)</f>
        <v>9000</v>
      </c>
      <c r="N20" s="16">
        <f t="shared" ref="N20:N32" si="18">I20*Franchise_OP_NP_per_uur</f>
        <v>1255.5384615384617</v>
      </c>
      <c r="O20" s="16">
        <f t="shared" ref="O20:O32" si="19">IF(M20-N20&lt;0,0,M20-N20)</f>
        <v>7744.4615384615381</v>
      </c>
      <c r="P20" s="17">
        <f>O20</f>
        <v>7744.4615384615381</v>
      </c>
      <c r="Q20" s="17">
        <f>O20*Premie___OP_NP</f>
        <v>2191.682615384615</v>
      </c>
      <c r="R20" s="24">
        <f>SUM($Q$20:Q20)</f>
        <v>2191.682615384615</v>
      </c>
      <c r="S20" s="27">
        <f>K20*Premie__VOS</f>
        <v>20.601846153846157</v>
      </c>
      <c r="T20" s="24">
        <f>SUM($S$20:S20)</f>
        <v>20.601846153846157</v>
      </c>
    </row>
    <row r="21" spans="1:20" s="3" customFormat="1" x14ac:dyDescent="0.25">
      <c r="A21" s="13" t="s">
        <v>38</v>
      </c>
      <c r="B21" s="17">
        <v>9000</v>
      </c>
      <c r="C21" s="16">
        <f t="shared" ref="C21:C30" si="20">C20+B21</f>
        <v>18000</v>
      </c>
      <c r="D21" s="18">
        <v>140</v>
      </c>
      <c r="E21" s="15">
        <f>SUM($D$20:D21)</f>
        <v>338</v>
      </c>
      <c r="F21" s="14">
        <v>20</v>
      </c>
      <c r="G21" s="15">
        <f>SUM($F$20:F21)</f>
        <v>40</v>
      </c>
      <c r="H21" s="14">
        <f t="shared" si="15"/>
        <v>304</v>
      </c>
      <c r="I21" s="25">
        <f t="shared" ref="I21:I32" si="21">MIN(H21,E21)</f>
        <v>304</v>
      </c>
      <c r="J21" s="15">
        <f>I21*Parameters!$B$11</f>
        <v>10300.923076923078</v>
      </c>
      <c r="K21" s="26">
        <f t="shared" si="16"/>
        <v>10300.923076923078</v>
      </c>
      <c r="L21" s="16">
        <f t="shared" ref="L21:L32" si="22">I21*Max_pensioengev_salaris_per_uur_OP_NP</f>
        <v>19816.923076923078</v>
      </c>
      <c r="M21" s="26">
        <f t="shared" si="17"/>
        <v>18000</v>
      </c>
      <c r="N21" s="16">
        <f t="shared" si="18"/>
        <v>2511.0769230769233</v>
      </c>
      <c r="O21" s="16">
        <f t="shared" si="19"/>
        <v>15488.923076923076</v>
      </c>
      <c r="P21" s="17">
        <f>O21-O20</f>
        <v>7744.4615384615381</v>
      </c>
      <c r="Q21" s="17">
        <f t="shared" ref="Q21:Q32" si="23">(O21-O20)*Premie___OP_NP</f>
        <v>2191.682615384615</v>
      </c>
      <c r="R21" s="24">
        <f>SUM($Q$20:Q21)</f>
        <v>4383.36523076923</v>
      </c>
      <c r="S21" s="27">
        <f t="shared" ref="S21:S32" si="24">(K21-K20)*Premie__VOS</f>
        <v>20.601846153846157</v>
      </c>
      <c r="T21" s="24">
        <f>SUM($S$20:S21)</f>
        <v>41.203692307692315</v>
      </c>
    </row>
    <row r="22" spans="1:20" s="3" customFormat="1" x14ac:dyDescent="0.25">
      <c r="A22" s="13" t="s">
        <v>40</v>
      </c>
      <c r="B22" s="17">
        <v>9000</v>
      </c>
      <c r="C22" s="16">
        <f t="shared" si="20"/>
        <v>27000</v>
      </c>
      <c r="D22" s="18">
        <v>155</v>
      </c>
      <c r="E22" s="15">
        <f>SUM($D$20:D22)</f>
        <v>493</v>
      </c>
      <c r="F22" s="14">
        <v>20</v>
      </c>
      <c r="G22" s="15">
        <f>SUM($F$20:F22)</f>
        <v>60</v>
      </c>
      <c r="H22" s="14">
        <f t="shared" si="15"/>
        <v>456</v>
      </c>
      <c r="I22" s="25">
        <f t="shared" si="21"/>
        <v>456</v>
      </c>
      <c r="J22" s="15">
        <f>I22*Parameters!$B$11</f>
        <v>15451.384615384617</v>
      </c>
      <c r="K22" s="26">
        <f t="shared" si="16"/>
        <v>15451.384615384617</v>
      </c>
      <c r="L22" s="16">
        <f t="shared" si="22"/>
        <v>29725.384615384617</v>
      </c>
      <c r="M22" s="26">
        <f t="shared" si="17"/>
        <v>27000</v>
      </c>
      <c r="N22" s="16">
        <f t="shared" si="18"/>
        <v>3766.6153846153848</v>
      </c>
      <c r="O22" s="16">
        <f t="shared" si="19"/>
        <v>23233.384615384617</v>
      </c>
      <c r="P22" s="17">
        <f t="shared" ref="P22:P32" si="25">O22-O21</f>
        <v>7744.4615384615408</v>
      </c>
      <c r="Q22" s="17">
        <f t="shared" si="23"/>
        <v>2191.6826153846159</v>
      </c>
      <c r="R22" s="24">
        <f>SUM($Q$20:Q22)</f>
        <v>6575.047846153846</v>
      </c>
      <c r="S22" s="27">
        <f t="shared" si="24"/>
        <v>20.601846153846157</v>
      </c>
      <c r="T22" s="24">
        <f>SUM($S$20:S22)</f>
        <v>61.805538461538475</v>
      </c>
    </row>
    <row r="23" spans="1:20" s="3" customFormat="1" x14ac:dyDescent="0.25">
      <c r="A23" s="13" t="s">
        <v>41</v>
      </c>
      <c r="B23" s="17">
        <v>9000</v>
      </c>
      <c r="C23" s="16">
        <f t="shared" si="20"/>
        <v>36000</v>
      </c>
      <c r="D23" s="18">
        <v>220</v>
      </c>
      <c r="E23" s="15">
        <f>SUM($D$20:D23)</f>
        <v>713</v>
      </c>
      <c r="F23" s="14">
        <v>20</v>
      </c>
      <c r="G23" s="15">
        <f>SUM($F$20:F23)</f>
        <v>80</v>
      </c>
      <c r="H23" s="14">
        <f t="shared" si="15"/>
        <v>608</v>
      </c>
      <c r="I23" s="25">
        <f t="shared" si="21"/>
        <v>608</v>
      </c>
      <c r="J23" s="15">
        <f>I23*Parameters!$B$11</f>
        <v>20601.846153846156</v>
      </c>
      <c r="K23" s="26">
        <f t="shared" si="16"/>
        <v>20601.846153846156</v>
      </c>
      <c r="L23" s="16">
        <f t="shared" si="22"/>
        <v>39633.846153846156</v>
      </c>
      <c r="M23" s="26">
        <f t="shared" si="17"/>
        <v>36000</v>
      </c>
      <c r="N23" s="16">
        <f t="shared" si="18"/>
        <v>5022.1538461538466</v>
      </c>
      <c r="O23" s="16">
        <f t="shared" si="19"/>
        <v>30977.846153846152</v>
      </c>
      <c r="P23" s="17">
        <f t="shared" si="25"/>
        <v>7744.4615384615354</v>
      </c>
      <c r="Q23" s="17">
        <f t="shared" si="23"/>
        <v>2191.6826153846141</v>
      </c>
      <c r="R23" s="24">
        <f>SUM($Q$20:Q23)</f>
        <v>8766.7304615384601</v>
      </c>
      <c r="S23" s="27">
        <f t="shared" si="24"/>
        <v>20.601846153846157</v>
      </c>
      <c r="T23" s="24">
        <f>SUM($S$20:S23)</f>
        <v>82.407384615384629</v>
      </c>
    </row>
    <row r="24" spans="1:20" s="3" customFormat="1" x14ac:dyDescent="0.25">
      <c r="A24" s="13" t="s">
        <v>42</v>
      </c>
      <c r="B24" s="17">
        <v>18000</v>
      </c>
      <c r="C24" s="16">
        <f t="shared" si="20"/>
        <v>54000</v>
      </c>
      <c r="D24" s="18">
        <v>80</v>
      </c>
      <c r="E24" s="15">
        <f>SUM($D$20:D24)</f>
        <v>793</v>
      </c>
      <c r="F24" s="14">
        <v>20</v>
      </c>
      <c r="G24" s="15">
        <f>SUM($F$20:F24)</f>
        <v>100</v>
      </c>
      <c r="H24" s="14">
        <f t="shared" si="15"/>
        <v>760</v>
      </c>
      <c r="I24" s="25">
        <f t="shared" si="21"/>
        <v>760</v>
      </c>
      <c r="J24" s="15">
        <f>I24*Parameters!$B$11</f>
        <v>25752.307692307695</v>
      </c>
      <c r="K24" s="26">
        <f t="shared" si="16"/>
        <v>25752.307692307695</v>
      </c>
      <c r="L24" s="16">
        <f t="shared" si="22"/>
        <v>49542.307692307695</v>
      </c>
      <c r="M24" s="26">
        <f t="shared" si="17"/>
        <v>49542.307692307695</v>
      </c>
      <c r="N24" s="16">
        <f t="shared" si="18"/>
        <v>6277.6923076923076</v>
      </c>
      <c r="O24" s="16">
        <f t="shared" si="19"/>
        <v>43264.61538461539</v>
      </c>
      <c r="P24" s="17">
        <f t="shared" si="25"/>
        <v>12286.769230769238</v>
      </c>
      <c r="Q24" s="17">
        <f t="shared" si="23"/>
        <v>3477.1556923076942</v>
      </c>
      <c r="R24" s="24">
        <f>SUM($Q$20:Q24)</f>
        <v>12243.886153846153</v>
      </c>
      <c r="S24" s="27">
        <f t="shared" si="24"/>
        <v>20.601846153846157</v>
      </c>
      <c r="T24" s="24">
        <f>SUM($S$20:S24)</f>
        <v>103.00923076923078</v>
      </c>
    </row>
    <row r="25" spans="1:20" s="3" customFormat="1" x14ac:dyDescent="0.25">
      <c r="A25" s="13" t="s">
        <v>43</v>
      </c>
      <c r="B25" s="17">
        <v>9000</v>
      </c>
      <c r="C25" s="16">
        <f t="shared" si="20"/>
        <v>63000</v>
      </c>
      <c r="D25" s="18">
        <v>161</v>
      </c>
      <c r="E25" s="15">
        <f>SUM($D$20:D25)</f>
        <v>954</v>
      </c>
      <c r="F25" s="14">
        <v>20</v>
      </c>
      <c r="G25" s="15">
        <f>SUM($F$20:F25)</f>
        <v>120</v>
      </c>
      <c r="H25" s="14">
        <f t="shared" si="15"/>
        <v>912</v>
      </c>
      <c r="I25" s="25">
        <f t="shared" si="21"/>
        <v>912</v>
      </c>
      <c r="J25" s="15">
        <f>I25*Parameters!$B$11</f>
        <v>30902.769230769234</v>
      </c>
      <c r="K25" s="26">
        <f t="shared" si="16"/>
        <v>30902.769230769234</v>
      </c>
      <c r="L25" s="16">
        <f t="shared" si="22"/>
        <v>59450.769230769234</v>
      </c>
      <c r="M25" s="26">
        <f t="shared" si="17"/>
        <v>59450.769230769234</v>
      </c>
      <c r="N25" s="16">
        <f t="shared" si="18"/>
        <v>7533.2307692307695</v>
      </c>
      <c r="O25" s="16">
        <f t="shared" si="19"/>
        <v>51917.538461538468</v>
      </c>
      <c r="P25" s="17">
        <f t="shared" si="25"/>
        <v>8652.923076923078</v>
      </c>
      <c r="Q25" s="17">
        <f t="shared" si="23"/>
        <v>2448.7772307692308</v>
      </c>
      <c r="R25" s="24">
        <f>SUM($Q$20:Q25)</f>
        <v>14692.663384615384</v>
      </c>
      <c r="S25" s="27">
        <f t="shared" si="24"/>
        <v>20.601846153846157</v>
      </c>
      <c r="T25" s="24">
        <f>SUM($S$20:S25)</f>
        <v>123.61107692307694</v>
      </c>
    </row>
    <row r="26" spans="1:20" s="3" customFormat="1" x14ac:dyDescent="0.25">
      <c r="A26" s="13" t="s">
        <v>44</v>
      </c>
      <c r="B26" s="17">
        <v>9000</v>
      </c>
      <c r="C26" s="16">
        <f t="shared" si="20"/>
        <v>72000</v>
      </c>
      <c r="D26" s="18">
        <v>152</v>
      </c>
      <c r="E26" s="15">
        <f>SUM($D$20:D26)</f>
        <v>1106</v>
      </c>
      <c r="F26" s="14">
        <v>20</v>
      </c>
      <c r="G26" s="15">
        <f>SUM($F$20:F26)</f>
        <v>140</v>
      </c>
      <c r="H26" s="14">
        <f t="shared" si="15"/>
        <v>1064</v>
      </c>
      <c r="I26" s="25">
        <f t="shared" si="21"/>
        <v>1064</v>
      </c>
      <c r="J26" s="15">
        <f>I26*Parameters!$B$11</f>
        <v>36053.230769230773</v>
      </c>
      <c r="K26" s="26">
        <f t="shared" si="16"/>
        <v>36053.230769230773</v>
      </c>
      <c r="L26" s="16">
        <f t="shared" si="22"/>
        <v>69359.23076923078</v>
      </c>
      <c r="M26" s="26">
        <f t="shared" si="17"/>
        <v>69359.23076923078</v>
      </c>
      <c r="N26" s="16">
        <f t="shared" si="18"/>
        <v>8788.7692307692305</v>
      </c>
      <c r="O26" s="16">
        <f t="shared" si="19"/>
        <v>60570.461538461546</v>
      </c>
      <c r="P26" s="17">
        <f t="shared" si="25"/>
        <v>8652.923076923078</v>
      </c>
      <c r="Q26" s="17">
        <f t="shared" si="23"/>
        <v>2448.7772307692308</v>
      </c>
      <c r="R26" s="24">
        <f>SUM($Q$20:Q26)</f>
        <v>17141.440615384614</v>
      </c>
      <c r="S26" s="27">
        <f t="shared" si="24"/>
        <v>20.601846153846157</v>
      </c>
      <c r="T26" s="24">
        <f>SUM($S$20:S26)</f>
        <v>144.21292307692309</v>
      </c>
    </row>
    <row r="27" spans="1:20" s="3" customFormat="1" x14ac:dyDescent="0.25">
      <c r="A27" s="13" t="s">
        <v>45</v>
      </c>
      <c r="B27" s="17">
        <v>9000</v>
      </c>
      <c r="C27" s="16">
        <f t="shared" si="20"/>
        <v>81000</v>
      </c>
      <c r="D27" s="18">
        <v>152</v>
      </c>
      <c r="E27" s="15">
        <f>SUM($D$20:D27)</f>
        <v>1258</v>
      </c>
      <c r="F27" s="14">
        <v>20</v>
      </c>
      <c r="G27" s="15">
        <f>SUM($F$20:F27)</f>
        <v>160</v>
      </c>
      <c r="H27" s="14">
        <f t="shared" si="15"/>
        <v>1216</v>
      </c>
      <c r="I27" s="25">
        <f t="shared" si="21"/>
        <v>1216</v>
      </c>
      <c r="J27" s="15">
        <f>I27*Parameters!$B$11</f>
        <v>41203.692307692312</v>
      </c>
      <c r="K27" s="26">
        <f t="shared" si="16"/>
        <v>41203.692307692312</v>
      </c>
      <c r="L27" s="16">
        <f t="shared" si="22"/>
        <v>79267.692307692312</v>
      </c>
      <c r="M27" s="26">
        <f t="shared" si="17"/>
        <v>79267.692307692312</v>
      </c>
      <c r="N27" s="16">
        <f t="shared" si="18"/>
        <v>10044.307692307693</v>
      </c>
      <c r="O27" s="16">
        <f t="shared" si="19"/>
        <v>69223.384615384624</v>
      </c>
      <c r="P27" s="17">
        <f t="shared" si="25"/>
        <v>8652.923076923078</v>
      </c>
      <c r="Q27" s="17">
        <f t="shared" si="23"/>
        <v>2448.7772307692308</v>
      </c>
      <c r="R27" s="24">
        <f>SUM($Q$20:Q27)</f>
        <v>19590.217846153846</v>
      </c>
      <c r="S27" s="27">
        <f t="shared" si="24"/>
        <v>20.601846153846157</v>
      </c>
      <c r="T27" s="24">
        <f>SUM($S$20:S27)</f>
        <v>164.81476923076926</v>
      </c>
    </row>
    <row r="28" spans="1:20" s="3" customFormat="1" x14ac:dyDescent="0.25">
      <c r="A28" s="13" t="s">
        <v>46</v>
      </c>
      <c r="B28" s="17">
        <v>9000</v>
      </c>
      <c r="C28" s="16">
        <f t="shared" si="20"/>
        <v>90000</v>
      </c>
      <c r="D28" s="18">
        <v>152</v>
      </c>
      <c r="E28" s="15">
        <f>SUM($D$20:D28)</f>
        <v>1410</v>
      </c>
      <c r="F28" s="14">
        <v>20</v>
      </c>
      <c r="G28" s="15">
        <f>SUM($F$20:F28)</f>
        <v>180</v>
      </c>
      <c r="H28" s="14">
        <f t="shared" si="15"/>
        <v>1368</v>
      </c>
      <c r="I28" s="25">
        <f t="shared" si="21"/>
        <v>1368</v>
      </c>
      <c r="J28" s="15">
        <f>I28*Parameters!$B$11</f>
        <v>46354.153846153851</v>
      </c>
      <c r="K28" s="26">
        <f t="shared" si="16"/>
        <v>46354.153846153851</v>
      </c>
      <c r="L28" s="16">
        <f t="shared" si="22"/>
        <v>89176.153846153844</v>
      </c>
      <c r="M28" s="26">
        <f t="shared" si="17"/>
        <v>89176.153846153844</v>
      </c>
      <c r="N28" s="16">
        <f t="shared" si="18"/>
        <v>11299.846153846154</v>
      </c>
      <c r="O28" s="16">
        <f t="shared" si="19"/>
        <v>77876.307692307688</v>
      </c>
      <c r="P28" s="17">
        <f t="shared" si="25"/>
        <v>8652.9230769230635</v>
      </c>
      <c r="Q28" s="17">
        <f t="shared" si="23"/>
        <v>2448.7772307692267</v>
      </c>
      <c r="R28" s="24">
        <f>SUM($Q$20:Q28)</f>
        <v>22038.995076923071</v>
      </c>
      <c r="S28" s="27">
        <f t="shared" si="24"/>
        <v>20.601846153846157</v>
      </c>
      <c r="T28" s="24">
        <f>SUM($S$20:S28)</f>
        <v>185.41661538461543</v>
      </c>
    </row>
    <row r="29" spans="1:20" s="3" customFormat="1" x14ac:dyDescent="0.25">
      <c r="A29" s="13" t="s">
        <v>47</v>
      </c>
      <c r="B29" s="17">
        <v>9000</v>
      </c>
      <c r="C29" s="16">
        <f t="shared" si="20"/>
        <v>99000</v>
      </c>
      <c r="D29" s="18">
        <v>198</v>
      </c>
      <c r="E29" s="15">
        <f>SUM($D$20:D29)</f>
        <v>1608</v>
      </c>
      <c r="F29" s="14">
        <v>20</v>
      </c>
      <c r="G29" s="15">
        <f>SUM($F$20:F29)</f>
        <v>200</v>
      </c>
      <c r="H29" s="14">
        <f t="shared" si="15"/>
        <v>1520</v>
      </c>
      <c r="I29" s="25">
        <f t="shared" si="21"/>
        <v>1520</v>
      </c>
      <c r="J29" s="15">
        <f>I29*Parameters!$B$11</f>
        <v>51504.61538461539</v>
      </c>
      <c r="K29" s="26">
        <f t="shared" si="16"/>
        <v>51504.61538461539</v>
      </c>
      <c r="L29" s="16">
        <f t="shared" si="22"/>
        <v>99084.61538461539</v>
      </c>
      <c r="M29" s="26">
        <f t="shared" si="17"/>
        <v>99000</v>
      </c>
      <c r="N29" s="16">
        <f t="shared" si="18"/>
        <v>12555.384615384615</v>
      </c>
      <c r="O29" s="16">
        <f t="shared" si="19"/>
        <v>86444.61538461539</v>
      </c>
      <c r="P29" s="17">
        <f t="shared" si="25"/>
        <v>8568.3076923077024</v>
      </c>
      <c r="Q29" s="17">
        <f t="shared" si="23"/>
        <v>2424.8310769230798</v>
      </c>
      <c r="R29" s="24">
        <f>SUM($Q$20:Q29)</f>
        <v>24463.826153846152</v>
      </c>
      <c r="S29" s="27">
        <f t="shared" si="24"/>
        <v>20.601846153846157</v>
      </c>
      <c r="T29" s="24">
        <f>SUM($S$20:S29)</f>
        <v>206.01846153846159</v>
      </c>
    </row>
    <row r="30" spans="1:20" ht="14.25" customHeight="1" x14ac:dyDescent="0.25">
      <c r="A30" s="13" t="s">
        <v>48</v>
      </c>
      <c r="B30" s="17">
        <v>9000</v>
      </c>
      <c r="C30" s="16">
        <f t="shared" si="20"/>
        <v>108000</v>
      </c>
      <c r="D30" s="18">
        <v>198</v>
      </c>
      <c r="E30" s="15">
        <f>SUM($D$20:D30)</f>
        <v>1806</v>
      </c>
      <c r="F30" s="14">
        <v>20</v>
      </c>
      <c r="G30" s="15">
        <f>SUM($F$20:F30)</f>
        <v>220</v>
      </c>
      <c r="H30" s="14">
        <f t="shared" si="15"/>
        <v>1672</v>
      </c>
      <c r="I30" s="25">
        <f t="shared" si="21"/>
        <v>1672</v>
      </c>
      <c r="J30" s="15">
        <f>I30*Parameters!$B$11</f>
        <v>56655.076923076929</v>
      </c>
      <c r="K30" s="26">
        <f t="shared" si="16"/>
        <v>56655.076923076929</v>
      </c>
      <c r="L30" s="16">
        <f t="shared" si="22"/>
        <v>108993.07692307694</v>
      </c>
      <c r="M30" s="26">
        <f t="shared" si="17"/>
        <v>108000</v>
      </c>
      <c r="N30" s="16">
        <f t="shared" si="18"/>
        <v>13810.923076923078</v>
      </c>
      <c r="O30" s="16">
        <f t="shared" si="19"/>
        <v>94189.076923076922</v>
      </c>
      <c r="P30" s="17">
        <f t="shared" si="25"/>
        <v>7744.4615384615317</v>
      </c>
      <c r="Q30" s="17">
        <f t="shared" si="23"/>
        <v>2191.6826153846132</v>
      </c>
      <c r="R30" s="24">
        <f>SUM($Q$20:Q30)</f>
        <v>26655.508769230764</v>
      </c>
      <c r="S30" s="27">
        <f t="shared" si="24"/>
        <v>20.601846153846157</v>
      </c>
      <c r="T30" s="24">
        <f>SUM($S$20:S30)</f>
        <v>226.62030769230776</v>
      </c>
    </row>
    <row r="31" spans="1:20" s="3" customFormat="1" x14ac:dyDescent="0.25">
      <c r="A31" s="13" t="s">
        <v>49</v>
      </c>
      <c r="B31" s="17">
        <v>9000</v>
      </c>
      <c r="C31" s="16">
        <f>C29+B31</f>
        <v>108000</v>
      </c>
      <c r="D31" s="18">
        <v>198</v>
      </c>
      <c r="E31" s="15">
        <f>SUM($D$20:D31)</f>
        <v>2004</v>
      </c>
      <c r="F31" s="14">
        <v>20</v>
      </c>
      <c r="G31" s="15">
        <f>SUM($F$20:F31)</f>
        <v>240</v>
      </c>
      <c r="H31" s="14">
        <f t="shared" si="15"/>
        <v>1824</v>
      </c>
      <c r="I31" s="25">
        <f t="shared" ref="I31" si="26">MIN(H31,E31)</f>
        <v>1824</v>
      </c>
      <c r="J31" s="15">
        <f>I31*Parameters!$B$11</f>
        <v>61805.538461538468</v>
      </c>
      <c r="K31" s="26">
        <f t="shared" ref="K31" si="27">MIN(J31,C31)</f>
        <v>61805.538461538468</v>
      </c>
      <c r="L31" s="16">
        <f t="shared" ref="L31" si="28">I31*Max_pensioengev_salaris_per_uur_OP_NP</f>
        <v>118901.53846153847</v>
      </c>
      <c r="M31" s="26">
        <f t="shared" ref="M31" si="29">MIN(L31,C31)</f>
        <v>108000</v>
      </c>
      <c r="N31" s="16">
        <f t="shared" si="18"/>
        <v>15066.461538461539</v>
      </c>
      <c r="O31" s="16">
        <f t="shared" si="19"/>
        <v>92933.538461538468</v>
      </c>
      <c r="P31" s="17">
        <f t="shared" si="25"/>
        <v>-1255.5384615384537</v>
      </c>
      <c r="Q31" s="17">
        <f t="shared" si="23"/>
        <v>-355.31738461538237</v>
      </c>
      <c r="R31" s="24">
        <f>SUM($Q$20:Q31)</f>
        <v>26300.19138461538</v>
      </c>
      <c r="S31" s="27">
        <f t="shared" si="24"/>
        <v>20.601846153846157</v>
      </c>
      <c r="T31" s="24">
        <f>SUM($S$20:S31)</f>
        <v>247.22215384615393</v>
      </c>
    </row>
    <row r="32" spans="1:20" x14ac:dyDescent="0.25">
      <c r="A32" s="13" t="s">
        <v>50</v>
      </c>
      <c r="B32" s="17">
        <v>9000</v>
      </c>
      <c r="C32" s="16">
        <f>C30+B32</f>
        <v>117000</v>
      </c>
      <c r="D32" s="18">
        <v>198</v>
      </c>
      <c r="E32" s="15">
        <f>SUM($D$20:D32)</f>
        <v>2202</v>
      </c>
      <c r="F32" s="14">
        <v>20</v>
      </c>
      <c r="G32" s="15">
        <f>SUM($F$20:F32)</f>
        <v>260</v>
      </c>
      <c r="H32" s="14">
        <f t="shared" si="15"/>
        <v>1976</v>
      </c>
      <c r="I32" s="25">
        <f t="shared" si="21"/>
        <v>1976</v>
      </c>
      <c r="J32" s="15">
        <f>I32*Parameters!$B$11</f>
        <v>66956</v>
      </c>
      <c r="K32" s="26">
        <f t="shared" si="16"/>
        <v>66956</v>
      </c>
      <c r="L32" s="16">
        <f t="shared" si="22"/>
        <v>128810</v>
      </c>
      <c r="M32" s="26">
        <f t="shared" si="17"/>
        <v>117000</v>
      </c>
      <c r="N32" s="16">
        <f t="shared" si="18"/>
        <v>16322</v>
      </c>
      <c r="O32" s="16">
        <f t="shared" si="19"/>
        <v>100678</v>
      </c>
      <c r="P32" s="17">
        <f t="shared" si="25"/>
        <v>7744.4615384615317</v>
      </c>
      <c r="Q32" s="17">
        <f t="shared" si="23"/>
        <v>2191.6826153846132</v>
      </c>
      <c r="R32" s="24">
        <f>SUM($Q$20:Q32)</f>
        <v>28491.873999999993</v>
      </c>
      <c r="S32" s="27">
        <f t="shared" si="24"/>
        <v>20.601846153846129</v>
      </c>
      <c r="T32" s="24">
        <f>SUM($S$20:S32)</f>
        <v>267.82400000000007</v>
      </c>
    </row>
    <row r="34" spans="1:20" s="3" customFormat="1" x14ac:dyDescent="0.25">
      <c r="Q34" s="22"/>
    </row>
    <row r="35" spans="1:20" s="3" customFormat="1" x14ac:dyDescent="0.25">
      <c r="A35" s="3" t="s">
        <v>29</v>
      </c>
      <c r="Q35" s="22"/>
    </row>
    <row r="36" spans="1:20" s="20" customFormat="1" ht="51.75" x14ac:dyDescent="0.25">
      <c r="A36" s="19" t="s">
        <v>37</v>
      </c>
      <c r="B36" s="19" t="s">
        <v>0</v>
      </c>
      <c r="C36" s="19" t="s">
        <v>17</v>
      </c>
      <c r="D36" s="19" t="s">
        <v>1</v>
      </c>
      <c r="E36" s="19" t="s">
        <v>19</v>
      </c>
      <c r="F36" s="19" t="s">
        <v>2</v>
      </c>
      <c r="G36" s="19" t="s">
        <v>18</v>
      </c>
      <c r="H36" s="19" t="s">
        <v>24</v>
      </c>
      <c r="I36" s="19" t="s">
        <v>25</v>
      </c>
      <c r="J36" s="19" t="s">
        <v>27</v>
      </c>
      <c r="K36" s="19" t="s">
        <v>23</v>
      </c>
      <c r="L36" s="19" t="s">
        <v>26</v>
      </c>
      <c r="M36" s="19" t="s">
        <v>22</v>
      </c>
      <c r="N36" s="19" t="s">
        <v>20</v>
      </c>
      <c r="O36" s="19" t="s">
        <v>21</v>
      </c>
      <c r="P36" s="19" t="s">
        <v>34</v>
      </c>
      <c r="Q36" s="23" t="s">
        <v>30</v>
      </c>
      <c r="R36" s="19" t="s">
        <v>31</v>
      </c>
      <c r="S36" s="23" t="s">
        <v>32</v>
      </c>
      <c r="T36" s="19" t="s">
        <v>33</v>
      </c>
    </row>
    <row r="37" spans="1:20" x14ac:dyDescent="0.25">
      <c r="A37" s="13" t="s">
        <v>39</v>
      </c>
      <c r="B37" s="17">
        <v>1300</v>
      </c>
      <c r="C37" s="16">
        <f>B37</f>
        <v>1300</v>
      </c>
      <c r="D37" s="18">
        <v>110</v>
      </c>
      <c r="E37" s="15">
        <f>SUM($D$37:D37)</f>
        <v>110</v>
      </c>
      <c r="F37" s="14">
        <v>20</v>
      </c>
      <c r="G37" s="15">
        <f>SUM($F$37:F37)</f>
        <v>20</v>
      </c>
      <c r="H37" s="14">
        <f t="shared" ref="H37:H49" si="30">G37*Max_uren_per_sv_dag</f>
        <v>152</v>
      </c>
      <c r="I37" s="25">
        <f t="shared" ref="I37:I49" si="31">MIN(H37,E37)</f>
        <v>110</v>
      </c>
      <c r="J37" s="15">
        <f>I37*Parameters!$B$11</f>
        <v>3727.3076923076924</v>
      </c>
      <c r="K37" s="26">
        <f t="shared" ref="K37:K49" si="32">MIN(J37,C37)</f>
        <v>1300</v>
      </c>
      <c r="L37" s="16">
        <f t="shared" ref="L37:L49" si="33">I37*Max_pensioengev_salaris_per_uur_OP_NP</f>
        <v>7170.5971659919032</v>
      </c>
      <c r="M37" s="26">
        <f t="shared" ref="M37:M49" si="34">MIN(L37,C37)</f>
        <v>1300</v>
      </c>
      <c r="N37" s="16">
        <f t="shared" ref="N37:N49" si="35">I37*Franchise_OP_NP_per_uur</f>
        <v>908.6133603238867</v>
      </c>
      <c r="O37" s="16">
        <f t="shared" ref="O37:O49" si="36">IF(M37-N37&lt;0,0,M37-N37)</f>
        <v>391.3866396761133</v>
      </c>
      <c r="P37" s="17">
        <f>O37</f>
        <v>391.3866396761133</v>
      </c>
      <c r="Q37" s="17">
        <f>O37*Premie___OP_NP</f>
        <v>110.76241902834005</v>
      </c>
      <c r="R37" s="24">
        <f>SUM($Q$37:Q37)</f>
        <v>110.76241902834005</v>
      </c>
      <c r="S37" s="27">
        <f>K37*Premie__VOS</f>
        <v>5.2</v>
      </c>
      <c r="T37" s="24">
        <f>SUM($S$37:S37)</f>
        <v>5.2</v>
      </c>
    </row>
    <row r="38" spans="1:20" x14ac:dyDescent="0.25">
      <c r="A38" s="13" t="s">
        <v>38</v>
      </c>
      <c r="B38" s="17">
        <v>1200</v>
      </c>
      <c r="C38" s="16">
        <f t="shared" ref="C38:C47" si="37">C37+B38</f>
        <v>2500</v>
      </c>
      <c r="D38" s="18">
        <v>90</v>
      </c>
      <c r="E38" s="15">
        <f>SUM($D$37:D38)</f>
        <v>200</v>
      </c>
      <c r="F38" s="14">
        <v>20</v>
      </c>
      <c r="G38" s="15">
        <f>SUM($F$37:F38)</f>
        <v>40</v>
      </c>
      <c r="H38" s="14">
        <f t="shared" si="30"/>
        <v>304</v>
      </c>
      <c r="I38" s="25">
        <f t="shared" si="31"/>
        <v>200</v>
      </c>
      <c r="J38" s="15">
        <f>I38*Parameters!$B$11</f>
        <v>6776.9230769230771</v>
      </c>
      <c r="K38" s="26">
        <f t="shared" si="32"/>
        <v>2500</v>
      </c>
      <c r="L38" s="16">
        <f t="shared" si="33"/>
        <v>13037.449392712551</v>
      </c>
      <c r="M38" s="26">
        <f t="shared" si="34"/>
        <v>2500</v>
      </c>
      <c r="N38" s="16">
        <f t="shared" si="35"/>
        <v>1652.0242914979758</v>
      </c>
      <c r="O38" s="16">
        <f t="shared" si="36"/>
        <v>847.97570850202419</v>
      </c>
      <c r="P38" s="17">
        <f>O38-O37</f>
        <v>456.58906882591089</v>
      </c>
      <c r="Q38" s="17">
        <f t="shared" ref="Q38:Q49" si="38">(O38-O37)*Premie___OP_NP</f>
        <v>129.21470647773276</v>
      </c>
      <c r="R38" s="24">
        <f>SUM($Q$37:Q38)</f>
        <v>239.97712550607281</v>
      </c>
      <c r="S38" s="27">
        <f t="shared" ref="S38:S49" si="39">(K38-K37)*Premie__VOS</f>
        <v>4.8</v>
      </c>
      <c r="T38" s="24">
        <f>SUM($S$37:S38)</f>
        <v>10</v>
      </c>
    </row>
    <row r="39" spans="1:20" x14ac:dyDescent="0.25">
      <c r="A39" s="13" t="s">
        <v>40</v>
      </c>
      <c r="B39" s="17">
        <v>1200</v>
      </c>
      <c r="C39" s="16">
        <f t="shared" si="37"/>
        <v>3700</v>
      </c>
      <c r="D39" s="18">
        <v>110</v>
      </c>
      <c r="E39" s="15">
        <f>SUM($D$37:D39)</f>
        <v>310</v>
      </c>
      <c r="F39" s="14">
        <v>20</v>
      </c>
      <c r="G39" s="15">
        <f>SUM($F$37:F39)</f>
        <v>60</v>
      </c>
      <c r="H39" s="14">
        <f t="shared" si="30"/>
        <v>456</v>
      </c>
      <c r="I39" s="25">
        <f t="shared" si="31"/>
        <v>310</v>
      </c>
      <c r="J39" s="15">
        <f>I39*Parameters!$B$11</f>
        <v>10504.23076923077</v>
      </c>
      <c r="K39" s="26">
        <f t="shared" si="32"/>
        <v>3700</v>
      </c>
      <c r="L39" s="16">
        <f t="shared" si="33"/>
        <v>20208.046558704453</v>
      </c>
      <c r="M39" s="26">
        <f t="shared" si="34"/>
        <v>3700</v>
      </c>
      <c r="N39" s="16">
        <f t="shared" si="35"/>
        <v>2560.6376518218626</v>
      </c>
      <c r="O39" s="16">
        <f t="shared" si="36"/>
        <v>1139.3623481781374</v>
      </c>
      <c r="P39" s="17">
        <f t="shared" ref="P39:P49" si="40">O39-O38</f>
        <v>291.38663967611319</v>
      </c>
      <c r="Q39" s="17">
        <f t="shared" si="38"/>
        <v>82.462419028340022</v>
      </c>
      <c r="R39" s="24">
        <f>SUM($Q$37:Q39)</f>
        <v>322.43954453441285</v>
      </c>
      <c r="S39" s="27">
        <f t="shared" si="39"/>
        <v>4.8</v>
      </c>
      <c r="T39" s="24">
        <f>SUM($S$37:S39)</f>
        <v>14.8</v>
      </c>
    </row>
    <row r="40" spans="1:20" x14ac:dyDescent="0.25">
      <c r="A40" s="13" t="s">
        <v>41</v>
      </c>
      <c r="B40" s="17">
        <v>1500</v>
      </c>
      <c r="C40" s="16">
        <f t="shared" si="37"/>
        <v>5200</v>
      </c>
      <c r="D40" s="18">
        <v>100</v>
      </c>
      <c r="E40" s="15">
        <f>SUM($D$37:D40)</f>
        <v>410</v>
      </c>
      <c r="F40" s="14">
        <v>20</v>
      </c>
      <c r="G40" s="15">
        <f>SUM($F$37:F40)</f>
        <v>80</v>
      </c>
      <c r="H40" s="14">
        <f t="shared" si="30"/>
        <v>608</v>
      </c>
      <c r="I40" s="25">
        <f t="shared" si="31"/>
        <v>410</v>
      </c>
      <c r="J40" s="15">
        <f>I40*Parameters!$B$11</f>
        <v>13892.692307692309</v>
      </c>
      <c r="K40" s="26">
        <f t="shared" si="32"/>
        <v>5200</v>
      </c>
      <c r="L40" s="16">
        <f t="shared" si="33"/>
        <v>26726.771255060732</v>
      </c>
      <c r="M40" s="26">
        <f t="shared" si="34"/>
        <v>5200</v>
      </c>
      <c r="N40" s="16">
        <f t="shared" si="35"/>
        <v>3386.6497975708503</v>
      </c>
      <c r="O40" s="16">
        <f t="shared" si="36"/>
        <v>1813.3502024291497</v>
      </c>
      <c r="P40" s="17">
        <f t="shared" si="40"/>
        <v>673.98785425101232</v>
      </c>
      <c r="Q40" s="17">
        <f t="shared" si="38"/>
        <v>190.73856275303646</v>
      </c>
      <c r="R40" s="24">
        <f>SUM($Q$37:Q40)</f>
        <v>513.17810728744928</v>
      </c>
      <c r="S40" s="27">
        <f t="shared" si="39"/>
        <v>6</v>
      </c>
      <c r="T40" s="24">
        <f>SUM($S$37:S40)</f>
        <v>20.8</v>
      </c>
    </row>
    <row r="41" spans="1:20" x14ac:dyDescent="0.25">
      <c r="A41" s="13" t="s">
        <v>42</v>
      </c>
      <c r="B41" s="17">
        <v>2700</v>
      </c>
      <c r="C41" s="16">
        <f t="shared" si="37"/>
        <v>7900</v>
      </c>
      <c r="D41" s="18">
        <v>120</v>
      </c>
      <c r="E41" s="15">
        <f>SUM($D$37:D41)</f>
        <v>530</v>
      </c>
      <c r="F41" s="14">
        <v>20</v>
      </c>
      <c r="G41" s="15">
        <f>SUM($F$37:F41)</f>
        <v>100</v>
      </c>
      <c r="H41" s="14">
        <f t="shared" si="30"/>
        <v>760</v>
      </c>
      <c r="I41" s="25">
        <f t="shared" si="31"/>
        <v>530</v>
      </c>
      <c r="J41" s="15">
        <f>I41*Parameters!$B$11</f>
        <v>17958.846153846156</v>
      </c>
      <c r="K41" s="26">
        <f t="shared" si="32"/>
        <v>7900</v>
      </c>
      <c r="L41" s="16">
        <f t="shared" si="33"/>
        <v>34549.240890688263</v>
      </c>
      <c r="M41" s="26">
        <f t="shared" si="34"/>
        <v>7900</v>
      </c>
      <c r="N41" s="16">
        <f t="shared" si="35"/>
        <v>4377.8643724696358</v>
      </c>
      <c r="O41" s="16">
        <f t="shared" si="36"/>
        <v>3522.1356275303642</v>
      </c>
      <c r="P41" s="17">
        <f t="shared" si="40"/>
        <v>1708.7854251012145</v>
      </c>
      <c r="Q41" s="17">
        <f t="shared" si="38"/>
        <v>483.58627530364367</v>
      </c>
      <c r="R41" s="24">
        <f>SUM($Q$37:Q41)</f>
        <v>996.76438259109295</v>
      </c>
      <c r="S41" s="27">
        <f t="shared" si="39"/>
        <v>10.8</v>
      </c>
      <c r="T41" s="24">
        <f>SUM($S$37:S41)</f>
        <v>31.6</v>
      </c>
    </row>
    <row r="42" spans="1:20" x14ac:dyDescent="0.25">
      <c r="A42" s="13" t="s">
        <v>43</v>
      </c>
      <c r="B42" s="17">
        <v>1300</v>
      </c>
      <c r="C42" s="16">
        <f t="shared" si="37"/>
        <v>9200</v>
      </c>
      <c r="D42" s="18">
        <v>90</v>
      </c>
      <c r="E42" s="15">
        <f>SUM($D$37:D42)</f>
        <v>620</v>
      </c>
      <c r="F42" s="14">
        <v>20</v>
      </c>
      <c r="G42" s="15">
        <f>SUM($F$37:F42)</f>
        <v>120</v>
      </c>
      <c r="H42" s="14">
        <f t="shared" si="30"/>
        <v>912</v>
      </c>
      <c r="I42" s="25">
        <f t="shared" si="31"/>
        <v>620</v>
      </c>
      <c r="J42" s="15">
        <f>I42*Parameters!$B$11</f>
        <v>21008.461538461539</v>
      </c>
      <c r="K42" s="26">
        <f t="shared" si="32"/>
        <v>9200</v>
      </c>
      <c r="L42" s="16">
        <f t="shared" si="33"/>
        <v>40416.093117408906</v>
      </c>
      <c r="M42" s="26">
        <f t="shared" si="34"/>
        <v>9200</v>
      </c>
      <c r="N42" s="16">
        <f t="shared" si="35"/>
        <v>5121.2753036437252</v>
      </c>
      <c r="O42" s="16">
        <f t="shared" si="36"/>
        <v>4078.7246963562748</v>
      </c>
      <c r="P42" s="17">
        <f t="shared" si="40"/>
        <v>556.58906882591054</v>
      </c>
      <c r="Q42" s="17">
        <f t="shared" si="38"/>
        <v>157.51470647773266</v>
      </c>
      <c r="R42" s="24">
        <f>SUM($Q$37:Q42)</f>
        <v>1154.2790890688257</v>
      </c>
      <c r="S42" s="27">
        <f t="shared" si="39"/>
        <v>5.2</v>
      </c>
      <c r="T42" s="24">
        <f>SUM($S$37:S42)</f>
        <v>36.800000000000004</v>
      </c>
    </row>
    <row r="43" spans="1:20" x14ac:dyDescent="0.25">
      <c r="A43" s="13" t="s">
        <v>44</v>
      </c>
      <c r="B43" s="17">
        <v>1300</v>
      </c>
      <c r="C43" s="16">
        <f t="shared" si="37"/>
        <v>10500</v>
      </c>
      <c r="D43" s="18">
        <v>82</v>
      </c>
      <c r="E43" s="15">
        <f>SUM($D$37:D43)</f>
        <v>702</v>
      </c>
      <c r="F43" s="14">
        <v>20</v>
      </c>
      <c r="G43" s="15">
        <f>SUM($F$37:F43)</f>
        <v>140</v>
      </c>
      <c r="H43" s="14">
        <f t="shared" si="30"/>
        <v>1064</v>
      </c>
      <c r="I43" s="25">
        <f t="shared" si="31"/>
        <v>702</v>
      </c>
      <c r="J43" s="15">
        <f>I43*Parameters!$B$11</f>
        <v>23787</v>
      </c>
      <c r="K43" s="26">
        <f t="shared" si="32"/>
        <v>10500</v>
      </c>
      <c r="L43" s="16">
        <f t="shared" si="33"/>
        <v>45761.447368421053</v>
      </c>
      <c r="M43" s="26">
        <f t="shared" si="34"/>
        <v>10500</v>
      </c>
      <c r="N43" s="16">
        <f t="shared" si="35"/>
        <v>5798.605263157895</v>
      </c>
      <c r="O43" s="16">
        <f t="shared" si="36"/>
        <v>4701.394736842105</v>
      </c>
      <c r="P43" s="17">
        <f t="shared" si="40"/>
        <v>622.67004048583021</v>
      </c>
      <c r="Q43" s="17">
        <f t="shared" si="38"/>
        <v>176.21562145748993</v>
      </c>
      <c r="R43" s="24">
        <f>SUM($Q$37:Q43)</f>
        <v>1330.4947105263157</v>
      </c>
      <c r="S43" s="27">
        <f t="shared" si="39"/>
        <v>5.2</v>
      </c>
      <c r="T43" s="24">
        <f>SUM($S$37:S43)</f>
        <v>42.000000000000007</v>
      </c>
    </row>
    <row r="44" spans="1:20" x14ac:dyDescent="0.25">
      <c r="A44" s="13" t="s">
        <v>45</v>
      </c>
      <c r="B44" s="17">
        <v>1400</v>
      </c>
      <c r="C44" s="16">
        <f t="shared" si="37"/>
        <v>11900</v>
      </c>
      <c r="D44" s="18">
        <v>120</v>
      </c>
      <c r="E44" s="15">
        <f>SUM($D$37:D44)</f>
        <v>822</v>
      </c>
      <c r="F44" s="14">
        <v>20</v>
      </c>
      <c r="G44" s="15">
        <f>SUM($F$37:F44)</f>
        <v>160</v>
      </c>
      <c r="H44" s="14">
        <f t="shared" si="30"/>
        <v>1216</v>
      </c>
      <c r="I44" s="25">
        <f t="shared" si="31"/>
        <v>822</v>
      </c>
      <c r="J44" s="15">
        <f>I44*Parameters!$B$11</f>
        <v>27853.153846153848</v>
      </c>
      <c r="K44" s="26">
        <f t="shared" si="32"/>
        <v>11900</v>
      </c>
      <c r="L44" s="16">
        <f t="shared" si="33"/>
        <v>53583.917004048584</v>
      </c>
      <c r="M44" s="26">
        <f t="shared" si="34"/>
        <v>11900</v>
      </c>
      <c r="N44" s="16">
        <f t="shared" si="35"/>
        <v>6789.8198380566801</v>
      </c>
      <c r="O44" s="16">
        <f t="shared" si="36"/>
        <v>5110.1801619433199</v>
      </c>
      <c r="P44" s="17">
        <f t="shared" si="40"/>
        <v>408.78542510121497</v>
      </c>
      <c r="Q44" s="17">
        <f t="shared" si="38"/>
        <v>115.68627530364382</v>
      </c>
      <c r="R44" s="24">
        <f>SUM($Q$37:Q44)</f>
        <v>1446.1809858299596</v>
      </c>
      <c r="S44" s="27">
        <f t="shared" si="39"/>
        <v>5.6000000000000005</v>
      </c>
      <c r="T44" s="24">
        <f>SUM($S$37:S44)</f>
        <v>47.600000000000009</v>
      </c>
    </row>
    <row r="45" spans="1:20" x14ac:dyDescent="0.25">
      <c r="A45" s="13" t="s">
        <v>46</v>
      </c>
      <c r="B45" s="17">
        <v>1400</v>
      </c>
      <c r="C45" s="16">
        <f t="shared" si="37"/>
        <v>13300</v>
      </c>
      <c r="D45" s="18">
        <v>100</v>
      </c>
      <c r="E45" s="15">
        <f>SUM($D$37:D45)</f>
        <v>922</v>
      </c>
      <c r="F45" s="14">
        <v>20</v>
      </c>
      <c r="G45" s="15">
        <f>SUM($F$37:F45)</f>
        <v>180</v>
      </c>
      <c r="H45" s="14">
        <f t="shared" si="30"/>
        <v>1368</v>
      </c>
      <c r="I45" s="25">
        <f t="shared" si="31"/>
        <v>922</v>
      </c>
      <c r="J45" s="15">
        <f>I45*Parameters!$B$11</f>
        <v>31241.615384615387</v>
      </c>
      <c r="K45" s="26">
        <f t="shared" si="32"/>
        <v>13300</v>
      </c>
      <c r="L45" s="16">
        <f t="shared" si="33"/>
        <v>60102.641700404864</v>
      </c>
      <c r="M45" s="26">
        <f t="shared" si="34"/>
        <v>13300</v>
      </c>
      <c r="N45" s="16">
        <f t="shared" si="35"/>
        <v>7615.8319838056677</v>
      </c>
      <c r="O45" s="16">
        <f t="shared" si="36"/>
        <v>5684.1680161943323</v>
      </c>
      <c r="P45" s="17">
        <f t="shared" si="40"/>
        <v>573.98785425101232</v>
      </c>
      <c r="Q45" s="17">
        <f t="shared" si="38"/>
        <v>162.43856275303648</v>
      </c>
      <c r="R45" s="24">
        <f>SUM($Q$37:Q45)</f>
        <v>1608.619548582996</v>
      </c>
      <c r="S45" s="27">
        <f t="shared" si="39"/>
        <v>5.6000000000000005</v>
      </c>
      <c r="T45" s="24">
        <f>SUM($S$37:S45)</f>
        <v>53.20000000000001</v>
      </c>
    </row>
    <row r="46" spans="1:20" x14ac:dyDescent="0.25">
      <c r="A46" s="13" t="s">
        <v>47</v>
      </c>
      <c r="B46" s="17">
        <v>1400</v>
      </c>
      <c r="C46" s="16">
        <f t="shared" si="37"/>
        <v>14700</v>
      </c>
      <c r="D46" s="18">
        <v>110</v>
      </c>
      <c r="E46" s="15">
        <f>SUM($D$37:D46)</f>
        <v>1032</v>
      </c>
      <c r="F46" s="14">
        <v>20</v>
      </c>
      <c r="G46" s="15">
        <f>SUM($F$37:F46)</f>
        <v>200</v>
      </c>
      <c r="H46" s="14">
        <f t="shared" si="30"/>
        <v>1520</v>
      </c>
      <c r="I46" s="25">
        <f t="shared" si="31"/>
        <v>1032</v>
      </c>
      <c r="J46" s="15">
        <f>I46*Parameters!$B$11</f>
        <v>34968.923076923078</v>
      </c>
      <c r="K46" s="26">
        <f t="shared" si="32"/>
        <v>14700</v>
      </c>
      <c r="L46" s="16">
        <f t="shared" si="33"/>
        <v>67273.238866396772</v>
      </c>
      <c r="M46" s="26">
        <f t="shared" si="34"/>
        <v>14700</v>
      </c>
      <c r="N46" s="16">
        <f t="shared" si="35"/>
        <v>8524.4453441295555</v>
      </c>
      <c r="O46" s="16">
        <f t="shared" si="36"/>
        <v>6175.5546558704445</v>
      </c>
      <c r="P46" s="17">
        <f t="shared" si="40"/>
        <v>491.38663967611228</v>
      </c>
      <c r="Q46" s="17">
        <f t="shared" si="38"/>
        <v>139.06241902833978</v>
      </c>
      <c r="R46" s="24">
        <f>SUM($Q$37:Q46)</f>
        <v>1747.6819676113357</v>
      </c>
      <c r="S46" s="27">
        <f t="shared" si="39"/>
        <v>5.6000000000000005</v>
      </c>
      <c r="T46" s="24">
        <f>SUM($S$37:S46)</f>
        <v>58.800000000000011</v>
      </c>
    </row>
    <row r="47" spans="1:20" x14ac:dyDescent="0.25">
      <c r="A47" s="13" t="s">
        <v>48</v>
      </c>
      <c r="B47" s="17">
        <v>1400</v>
      </c>
      <c r="C47" s="16">
        <f t="shared" si="37"/>
        <v>16100</v>
      </c>
      <c r="D47" s="18">
        <v>110</v>
      </c>
      <c r="E47" s="15">
        <f>SUM($D$37:D47)</f>
        <v>1142</v>
      </c>
      <c r="F47" s="14">
        <v>20</v>
      </c>
      <c r="G47" s="15">
        <f>SUM($F$37:F47)</f>
        <v>220</v>
      </c>
      <c r="H47" s="14">
        <f t="shared" si="30"/>
        <v>1672</v>
      </c>
      <c r="I47" s="25">
        <f t="shared" si="31"/>
        <v>1142</v>
      </c>
      <c r="J47" s="15">
        <f>I47*Parameters!$B$11</f>
        <v>38696.230769230773</v>
      </c>
      <c r="K47" s="26">
        <f t="shared" si="32"/>
        <v>16100</v>
      </c>
      <c r="L47" s="16">
        <f t="shared" si="33"/>
        <v>74443.836032388674</v>
      </c>
      <c r="M47" s="26">
        <f t="shared" si="34"/>
        <v>16100</v>
      </c>
      <c r="N47" s="16">
        <f t="shared" si="35"/>
        <v>9433.0587044534423</v>
      </c>
      <c r="O47" s="16">
        <f t="shared" si="36"/>
        <v>6666.9412955465577</v>
      </c>
      <c r="P47" s="17">
        <f t="shared" si="40"/>
        <v>491.38663967611319</v>
      </c>
      <c r="Q47" s="17">
        <f t="shared" si="38"/>
        <v>139.06241902834003</v>
      </c>
      <c r="R47" s="24">
        <f>SUM($Q$37:Q47)</f>
        <v>1886.7443866396757</v>
      </c>
      <c r="S47" s="27">
        <f t="shared" si="39"/>
        <v>5.6000000000000005</v>
      </c>
      <c r="T47" s="24">
        <f>SUM($S$37:S47)</f>
        <v>64.400000000000006</v>
      </c>
    </row>
    <row r="48" spans="1:20" s="3" customFormat="1" x14ac:dyDescent="0.25">
      <c r="A48" s="13" t="s">
        <v>49</v>
      </c>
      <c r="B48" s="17">
        <v>2500</v>
      </c>
      <c r="C48" s="16">
        <f>C46+B48</f>
        <v>17200</v>
      </c>
      <c r="D48" s="18">
        <v>100</v>
      </c>
      <c r="E48" s="15">
        <f>SUM($D$37:D48)</f>
        <v>1242</v>
      </c>
      <c r="F48" s="14">
        <v>20</v>
      </c>
      <c r="G48" s="15">
        <f>SUM($F$37:F48)</f>
        <v>240</v>
      </c>
      <c r="H48" s="14">
        <f t="shared" si="30"/>
        <v>1824</v>
      </c>
      <c r="I48" s="25">
        <f t="shared" ref="I48" si="41">MIN(H48,E48)</f>
        <v>1242</v>
      </c>
      <c r="J48" s="15">
        <f>I48*Parameters!$B$11</f>
        <v>42084.692307692312</v>
      </c>
      <c r="K48" s="26">
        <f t="shared" ref="K48" si="42">MIN(J48,C48)</f>
        <v>17200</v>
      </c>
      <c r="L48" s="16">
        <f t="shared" ref="L48" si="43">I48*Max_pensioengev_salaris_per_uur_OP_NP</f>
        <v>80962.560728744938</v>
      </c>
      <c r="M48" s="26">
        <f t="shared" ref="M48" si="44">MIN(L48,C48)</f>
        <v>17200</v>
      </c>
      <c r="N48" s="16">
        <f t="shared" si="35"/>
        <v>10259.07085020243</v>
      </c>
      <c r="O48" s="16">
        <f t="shared" si="36"/>
        <v>6940.9291497975701</v>
      </c>
      <c r="P48" s="17">
        <f t="shared" si="40"/>
        <v>273.98785425101232</v>
      </c>
      <c r="Q48" s="17">
        <f t="shared" si="38"/>
        <v>77.538562753036487</v>
      </c>
      <c r="R48" s="24">
        <f>SUM($Q$37:Q48)</f>
        <v>1964.2829493927122</v>
      </c>
      <c r="S48" s="27">
        <f t="shared" si="39"/>
        <v>4.4000000000000004</v>
      </c>
      <c r="T48" s="24">
        <f>SUM($S$37:S48)</f>
        <v>68.800000000000011</v>
      </c>
    </row>
    <row r="49" spans="1:20" x14ac:dyDescent="0.25">
      <c r="A49" s="13" t="s">
        <v>50</v>
      </c>
      <c r="B49" s="17">
        <v>2500</v>
      </c>
      <c r="C49" s="16">
        <f>C47+B49</f>
        <v>18600</v>
      </c>
      <c r="D49" s="18">
        <v>100</v>
      </c>
      <c r="E49" s="15">
        <f>SUM($D$37:D49)</f>
        <v>1342</v>
      </c>
      <c r="F49" s="14">
        <v>20</v>
      </c>
      <c r="G49" s="15">
        <f>SUM($F$37:F49)</f>
        <v>260</v>
      </c>
      <c r="H49" s="14">
        <f t="shared" si="30"/>
        <v>1976</v>
      </c>
      <c r="I49" s="25">
        <f t="shared" si="31"/>
        <v>1342</v>
      </c>
      <c r="J49" s="15">
        <f>I49*Parameters!$B$11</f>
        <v>45473.153846153851</v>
      </c>
      <c r="K49" s="26">
        <f t="shared" si="32"/>
        <v>18600</v>
      </c>
      <c r="L49" s="16">
        <f t="shared" si="33"/>
        <v>87481.285425101218</v>
      </c>
      <c r="M49" s="26">
        <f t="shared" si="34"/>
        <v>18600</v>
      </c>
      <c r="N49" s="16">
        <f t="shared" si="35"/>
        <v>11085.082995951418</v>
      </c>
      <c r="O49" s="16">
        <f t="shared" si="36"/>
        <v>7514.9170040485824</v>
      </c>
      <c r="P49" s="17">
        <f t="shared" si="40"/>
        <v>573.98785425101232</v>
      </c>
      <c r="Q49" s="17">
        <f t="shared" si="38"/>
        <v>162.43856275303648</v>
      </c>
      <c r="R49" s="24">
        <f>SUM($Q$37:Q49)</f>
        <v>2126.7215121457489</v>
      </c>
      <c r="S49" s="27">
        <f t="shared" si="39"/>
        <v>5.6000000000000005</v>
      </c>
      <c r="T49" s="24">
        <f>SUM($S$37:S49)</f>
        <v>74.400000000000006</v>
      </c>
    </row>
    <row r="52" spans="1:20" x14ac:dyDescent="0.25">
      <c r="A52" s="3" t="s">
        <v>29</v>
      </c>
      <c r="B52" s="3" t="s">
        <v>55</v>
      </c>
      <c r="C52" s="3"/>
      <c r="D52" s="3"/>
      <c r="E52" s="3"/>
      <c r="F52" s="3"/>
      <c r="G52" s="3"/>
      <c r="H52" s="3"/>
      <c r="I52" s="3"/>
      <c r="J52" s="3"/>
      <c r="K52" s="3"/>
      <c r="N52" s="3"/>
      <c r="O52" s="3"/>
    </row>
    <row r="53" spans="1:20" s="20" customFormat="1" ht="51.75" x14ac:dyDescent="0.25">
      <c r="A53" s="19" t="s">
        <v>37</v>
      </c>
      <c r="B53" s="19" t="s">
        <v>0</v>
      </c>
      <c r="C53" s="19" t="s">
        <v>17</v>
      </c>
      <c r="D53" s="19" t="s">
        <v>1</v>
      </c>
      <c r="E53" s="19" t="s">
        <v>19</v>
      </c>
      <c r="F53" s="19" t="s">
        <v>2</v>
      </c>
      <c r="G53" s="19" t="s">
        <v>18</v>
      </c>
      <c r="H53" s="19" t="s">
        <v>24</v>
      </c>
      <c r="I53" s="19" t="s">
        <v>25</v>
      </c>
      <c r="J53" s="19" t="s">
        <v>27</v>
      </c>
      <c r="K53" s="19" t="s">
        <v>23</v>
      </c>
      <c r="L53" s="19" t="s">
        <v>26</v>
      </c>
      <c r="M53" s="19" t="s">
        <v>22</v>
      </c>
      <c r="N53" s="19" t="s">
        <v>20</v>
      </c>
      <c r="O53" s="19" t="s">
        <v>21</v>
      </c>
      <c r="P53" s="19" t="s">
        <v>34</v>
      </c>
      <c r="Q53" s="23" t="s">
        <v>30</v>
      </c>
      <c r="R53" s="19" t="s">
        <v>31</v>
      </c>
      <c r="S53" s="23" t="s">
        <v>32</v>
      </c>
      <c r="T53" s="19" t="s">
        <v>33</v>
      </c>
    </row>
    <row r="54" spans="1:20" x14ac:dyDescent="0.25">
      <c r="A54" s="13" t="s">
        <v>39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spans="1:20" x14ac:dyDescent="0.25">
      <c r="A55" s="13" t="s">
        <v>38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  <row r="56" spans="1:20" x14ac:dyDescent="0.25">
      <c r="A56" s="13" t="s">
        <v>40</v>
      </c>
      <c r="B56" s="17">
        <v>1200</v>
      </c>
      <c r="C56" s="16">
        <f t="shared" ref="C56:C61" si="45">C55+B56</f>
        <v>1200</v>
      </c>
      <c r="D56" s="18">
        <v>110</v>
      </c>
      <c r="E56" s="15">
        <f>SUM($D$56:D56)</f>
        <v>110</v>
      </c>
      <c r="F56" s="14">
        <v>20</v>
      </c>
      <c r="G56" s="15">
        <f>SUM($F$56:F56)</f>
        <v>20</v>
      </c>
      <c r="H56" s="14">
        <f t="shared" ref="H56:H61" si="46">G56*Max_uren_per_sv_dag</f>
        <v>152</v>
      </c>
      <c r="I56" s="25">
        <f t="shared" ref="I56:I61" si="47">MIN(H56,E56)</f>
        <v>110</v>
      </c>
      <c r="J56" s="15">
        <f>I56*Parameters!$B$11</f>
        <v>3727.3076923076924</v>
      </c>
      <c r="K56" s="26">
        <f t="shared" ref="K56:K61" si="48">MIN(J56,C56)</f>
        <v>1200</v>
      </c>
      <c r="L56" s="16">
        <f t="shared" ref="L56:L61" si="49">I56*Max_pensioengev_salaris_per_uur_OP_NP</f>
        <v>7170.5971659919032</v>
      </c>
      <c r="M56" s="26">
        <f t="shared" ref="M56:M61" si="50">MIN(L56,C56)</f>
        <v>1200</v>
      </c>
      <c r="N56" s="16">
        <f t="shared" ref="N56:N61" si="51">I56*Franchise_OP_NP_per_uur</f>
        <v>908.6133603238867</v>
      </c>
      <c r="O56" s="16">
        <f t="shared" ref="O56:O61" si="52">IF(M56-N56&lt;0,0,M56-N56)</f>
        <v>291.3866396761133</v>
      </c>
      <c r="P56" s="17">
        <f>O56-O55</f>
        <v>291.3866396761133</v>
      </c>
      <c r="Q56" s="17">
        <f t="shared" ref="Q56:Q61" si="53">(O56-O55)*Premie___OP_NP</f>
        <v>82.462419028340051</v>
      </c>
      <c r="R56" s="24">
        <f>SUM($Q$56:Q56)</f>
        <v>82.462419028340051</v>
      </c>
      <c r="S56" s="27">
        <f t="shared" ref="S56:S61" si="54">(K56-K55)*Premie__VOS</f>
        <v>4.8</v>
      </c>
      <c r="T56" s="24">
        <f>SUM($S$56:S56)</f>
        <v>4.8</v>
      </c>
    </row>
    <row r="57" spans="1:20" x14ac:dyDescent="0.25">
      <c r="A57" s="13" t="s">
        <v>41</v>
      </c>
      <c r="B57" s="17">
        <v>1500</v>
      </c>
      <c r="C57" s="16">
        <f t="shared" si="45"/>
        <v>2700</v>
      </c>
      <c r="D57" s="18">
        <v>100</v>
      </c>
      <c r="E57" s="15">
        <f>SUM($D$56:D57)</f>
        <v>210</v>
      </c>
      <c r="F57" s="14">
        <v>20</v>
      </c>
      <c r="G57" s="15">
        <f>SUM($F$56:F57)</f>
        <v>40</v>
      </c>
      <c r="H57" s="14">
        <f t="shared" si="46"/>
        <v>304</v>
      </c>
      <c r="I57" s="25">
        <f t="shared" si="47"/>
        <v>210</v>
      </c>
      <c r="J57" s="15">
        <f>I57*Parameters!$B$11</f>
        <v>7115.7692307692314</v>
      </c>
      <c r="K57" s="26">
        <f t="shared" si="48"/>
        <v>2700</v>
      </c>
      <c r="L57" s="16">
        <f t="shared" si="49"/>
        <v>13689.321862348179</v>
      </c>
      <c r="M57" s="26">
        <f t="shared" si="50"/>
        <v>2700</v>
      </c>
      <c r="N57" s="16">
        <f t="shared" si="51"/>
        <v>1734.6255060728745</v>
      </c>
      <c r="O57" s="16">
        <f t="shared" si="52"/>
        <v>965.37449392712551</v>
      </c>
      <c r="P57" s="17">
        <f t="shared" ref="P57:P61" si="55">O57-O56</f>
        <v>673.98785425101221</v>
      </c>
      <c r="Q57" s="17">
        <f t="shared" si="53"/>
        <v>190.73856275303643</v>
      </c>
      <c r="R57" s="24">
        <f>SUM($Q$56:Q57)</f>
        <v>273.20098178137647</v>
      </c>
      <c r="S57" s="27">
        <f t="shared" si="54"/>
        <v>6</v>
      </c>
      <c r="T57" s="24">
        <f>SUM($S$56:S57)</f>
        <v>10.8</v>
      </c>
    </row>
    <row r="58" spans="1:20" x14ac:dyDescent="0.25">
      <c r="A58" s="13" t="s">
        <v>42</v>
      </c>
      <c r="B58" s="17">
        <v>2100</v>
      </c>
      <c r="C58" s="16">
        <f t="shared" si="45"/>
        <v>4800</v>
      </c>
      <c r="D58" s="18">
        <v>95</v>
      </c>
      <c r="E58" s="15">
        <f>SUM($D$56:D58)</f>
        <v>305</v>
      </c>
      <c r="F58" s="14">
        <v>20</v>
      </c>
      <c r="G58" s="15">
        <f>SUM($F$56:F58)</f>
        <v>60</v>
      </c>
      <c r="H58" s="14">
        <f t="shared" si="46"/>
        <v>456</v>
      </c>
      <c r="I58" s="25">
        <f t="shared" si="47"/>
        <v>305</v>
      </c>
      <c r="J58" s="15">
        <f>I58*Parameters!$B$11</f>
        <v>10334.807692307693</v>
      </c>
      <c r="K58" s="26">
        <f t="shared" si="48"/>
        <v>4800</v>
      </c>
      <c r="L58" s="16">
        <f t="shared" si="49"/>
        <v>19882.110323886642</v>
      </c>
      <c r="M58" s="26">
        <f t="shared" si="50"/>
        <v>4800</v>
      </c>
      <c r="N58" s="16">
        <f t="shared" si="51"/>
        <v>2519.3370445344131</v>
      </c>
      <c r="O58" s="16">
        <f t="shared" si="52"/>
        <v>2280.6629554655869</v>
      </c>
      <c r="P58" s="17">
        <f t="shared" si="55"/>
        <v>1315.2884615384614</v>
      </c>
      <c r="Q58" s="17">
        <f t="shared" si="53"/>
        <v>372.22663461538457</v>
      </c>
      <c r="R58" s="24">
        <f>SUM($Q$56:Q58)</f>
        <v>645.4276163967611</v>
      </c>
      <c r="S58" s="27">
        <f t="shared" si="54"/>
        <v>8.4</v>
      </c>
      <c r="T58" s="24">
        <f>SUM($S$56:S58)</f>
        <v>19.200000000000003</v>
      </c>
    </row>
    <row r="59" spans="1:20" x14ac:dyDescent="0.25">
      <c r="A59" s="13" t="s">
        <v>43</v>
      </c>
      <c r="B59" s="17">
        <v>1300</v>
      </c>
      <c r="C59" s="16">
        <f t="shared" si="45"/>
        <v>6100</v>
      </c>
      <c r="D59" s="18">
        <v>110</v>
      </c>
      <c r="E59" s="15">
        <f>SUM($D$56:D59)</f>
        <v>415</v>
      </c>
      <c r="F59" s="14">
        <v>20</v>
      </c>
      <c r="G59" s="15">
        <f>SUM($F$56:F59)</f>
        <v>80</v>
      </c>
      <c r="H59" s="14">
        <f t="shared" si="46"/>
        <v>608</v>
      </c>
      <c r="I59" s="25">
        <f t="shared" si="47"/>
        <v>415</v>
      </c>
      <c r="J59" s="15">
        <f>I59*Parameters!$B$11</f>
        <v>14062.115384615385</v>
      </c>
      <c r="K59" s="26">
        <f t="shared" si="48"/>
        <v>6100</v>
      </c>
      <c r="L59" s="16">
        <f t="shared" si="49"/>
        <v>27052.707489878543</v>
      </c>
      <c r="M59" s="26">
        <f t="shared" si="50"/>
        <v>6100</v>
      </c>
      <c r="N59" s="16">
        <f t="shared" si="51"/>
        <v>3427.9504048582999</v>
      </c>
      <c r="O59" s="16">
        <f t="shared" si="52"/>
        <v>2672.0495951417001</v>
      </c>
      <c r="P59" s="17">
        <f t="shared" si="55"/>
        <v>391.38663967611319</v>
      </c>
      <c r="Q59" s="17">
        <f t="shared" si="53"/>
        <v>110.76241902834002</v>
      </c>
      <c r="R59" s="24">
        <f>SUM($Q$56:Q59)</f>
        <v>756.19003542510109</v>
      </c>
      <c r="S59" s="27">
        <f t="shared" si="54"/>
        <v>5.2</v>
      </c>
      <c r="T59" s="24">
        <f>SUM($S$56:S59)</f>
        <v>24.400000000000002</v>
      </c>
    </row>
    <row r="60" spans="1:20" x14ac:dyDescent="0.25">
      <c r="A60" s="13" t="s">
        <v>44</v>
      </c>
      <c r="B60" s="17">
        <v>1300</v>
      </c>
      <c r="C60" s="16">
        <f t="shared" si="45"/>
        <v>7400</v>
      </c>
      <c r="D60" s="18">
        <v>100</v>
      </c>
      <c r="E60" s="15">
        <f>SUM($D$56:D60)</f>
        <v>515</v>
      </c>
      <c r="F60" s="14">
        <v>20</v>
      </c>
      <c r="G60" s="15">
        <f>SUM($F$56:F60)</f>
        <v>100</v>
      </c>
      <c r="H60" s="14">
        <f t="shared" si="46"/>
        <v>760</v>
      </c>
      <c r="I60" s="25">
        <f t="shared" si="47"/>
        <v>515</v>
      </c>
      <c r="J60" s="15">
        <f>I60*Parameters!$B$11</f>
        <v>17450.576923076926</v>
      </c>
      <c r="K60" s="26">
        <f t="shared" si="48"/>
        <v>7400</v>
      </c>
      <c r="L60" s="16">
        <f t="shared" si="49"/>
        <v>33571.432186234822</v>
      </c>
      <c r="M60" s="26">
        <f t="shared" si="50"/>
        <v>7400</v>
      </c>
      <c r="N60" s="16">
        <f t="shared" si="51"/>
        <v>4253.9625506072871</v>
      </c>
      <c r="O60" s="16">
        <f t="shared" si="52"/>
        <v>3146.0374493927129</v>
      </c>
      <c r="P60" s="17">
        <f t="shared" si="55"/>
        <v>473.98785425101278</v>
      </c>
      <c r="Q60" s="17">
        <f t="shared" si="53"/>
        <v>134.13856275303661</v>
      </c>
      <c r="R60" s="24">
        <f>SUM($Q$56:Q60)</f>
        <v>890.32859817813767</v>
      </c>
      <c r="S60" s="27">
        <f t="shared" si="54"/>
        <v>5.2</v>
      </c>
      <c r="T60" s="24">
        <f>SUM($S$56:S60)</f>
        <v>29.6</v>
      </c>
    </row>
    <row r="61" spans="1:20" x14ac:dyDescent="0.25">
      <c r="A61" s="13" t="s">
        <v>45</v>
      </c>
      <c r="B61" s="17">
        <v>1400</v>
      </c>
      <c r="C61" s="16">
        <f t="shared" si="45"/>
        <v>8800</v>
      </c>
      <c r="D61" s="18">
        <v>120</v>
      </c>
      <c r="E61" s="15">
        <f>SUM($D$56:D61)</f>
        <v>635</v>
      </c>
      <c r="F61" s="14">
        <v>20</v>
      </c>
      <c r="G61" s="15">
        <f>SUM($F$56:F61)</f>
        <v>120</v>
      </c>
      <c r="H61" s="14">
        <f t="shared" si="46"/>
        <v>912</v>
      </c>
      <c r="I61" s="25">
        <f t="shared" si="47"/>
        <v>635</v>
      </c>
      <c r="J61" s="15">
        <f>I61*Parameters!$B$11</f>
        <v>21516.73076923077</v>
      </c>
      <c r="K61" s="26">
        <f t="shared" si="48"/>
        <v>8800</v>
      </c>
      <c r="L61" s="16">
        <f t="shared" si="49"/>
        <v>41393.901821862353</v>
      </c>
      <c r="M61" s="26">
        <f t="shared" si="50"/>
        <v>8800</v>
      </c>
      <c r="N61" s="16">
        <f t="shared" si="51"/>
        <v>5245.177125506073</v>
      </c>
      <c r="O61" s="16">
        <f t="shared" si="52"/>
        <v>3554.822874493927</v>
      </c>
      <c r="P61" s="17">
        <f t="shared" si="55"/>
        <v>408.78542510121406</v>
      </c>
      <c r="Q61" s="17">
        <f t="shared" si="53"/>
        <v>115.68627530364357</v>
      </c>
      <c r="R61" s="24">
        <f>SUM($Q$56:Q61)</f>
        <v>1006.0148734817813</v>
      </c>
      <c r="S61" s="27">
        <f t="shared" si="54"/>
        <v>5.6000000000000005</v>
      </c>
      <c r="T61" s="24">
        <f>SUM($S$56:S61)</f>
        <v>35.200000000000003</v>
      </c>
    </row>
    <row r="62" spans="1:20" x14ac:dyDescent="0.25">
      <c r="A62" s="13" t="s">
        <v>46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</row>
    <row r="63" spans="1:20" x14ac:dyDescent="0.25">
      <c r="A63" s="13" t="s">
        <v>47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</row>
    <row r="64" spans="1:20" x14ac:dyDescent="0.25">
      <c r="A64" s="13" t="s">
        <v>48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</row>
    <row r="65" spans="1:20" s="3" customFormat="1" x14ac:dyDescent="0.25">
      <c r="A65" s="13" t="s">
        <v>49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</row>
    <row r="66" spans="1:20" x14ac:dyDescent="0.25">
      <c r="A66" s="13" t="s">
        <v>50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activeCell="B15" sqref="B15"/>
    </sheetView>
  </sheetViews>
  <sheetFormatPr defaultRowHeight="15" x14ac:dyDescent="0.25"/>
  <cols>
    <col min="1" max="1" width="29.7109375" customWidth="1"/>
    <col min="2" max="2" width="19" customWidth="1"/>
  </cols>
  <sheetData>
    <row r="1" spans="1:3" x14ac:dyDescent="0.25">
      <c r="A1" s="1" t="s">
        <v>5</v>
      </c>
      <c r="B1" s="2">
        <v>2023</v>
      </c>
      <c r="C1" s="4"/>
    </row>
    <row r="2" spans="1:3" s="3" customFormat="1" x14ac:dyDescent="0.25">
      <c r="A2" s="1" t="s">
        <v>6</v>
      </c>
      <c r="B2" s="5">
        <v>260</v>
      </c>
      <c r="C2" s="4" t="s">
        <v>7</v>
      </c>
    </row>
    <row r="3" spans="1:3" x14ac:dyDescent="0.25">
      <c r="A3" s="1" t="s">
        <v>8</v>
      </c>
      <c r="B3" s="8">
        <f>Aantal_SV_dagen_in_het_jaar*Max_uren_per_sv_dag</f>
        <v>1976</v>
      </c>
      <c r="C3" s="4" t="s">
        <v>7</v>
      </c>
    </row>
    <row r="4" spans="1:3" x14ac:dyDescent="0.25">
      <c r="A4" s="1" t="s">
        <v>3</v>
      </c>
      <c r="B4" s="6" t="s">
        <v>51</v>
      </c>
      <c r="C4" s="4" t="s">
        <v>7</v>
      </c>
    </row>
    <row r="5" spans="1:3" x14ac:dyDescent="0.25">
      <c r="A5" s="1" t="s">
        <v>4</v>
      </c>
      <c r="B5" s="6">
        <v>7.6</v>
      </c>
      <c r="C5" s="4" t="s">
        <v>9</v>
      </c>
    </row>
    <row r="6" spans="1:3" x14ac:dyDescent="0.25">
      <c r="A6" s="1" t="s">
        <v>10</v>
      </c>
      <c r="B6" s="7">
        <v>16322</v>
      </c>
      <c r="C6" s="4" t="s">
        <v>7</v>
      </c>
    </row>
    <row r="7" spans="1:3" x14ac:dyDescent="0.25">
      <c r="A7" s="1" t="s">
        <v>11</v>
      </c>
      <c r="B7" s="8">
        <f>B6/B3</f>
        <v>8.2601214574898787</v>
      </c>
      <c r="C7" s="4" t="s">
        <v>12</v>
      </c>
    </row>
    <row r="8" spans="1:3" ht="25.5" x14ac:dyDescent="0.25">
      <c r="A8" s="1" t="s">
        <v>13</v>
      </c>
      <c r="B8" s="9">
        <v>128810</v>
      </c>
      <c r="C8" s="4" t="s">
        <v>7</v>
      </c>
    </row>
    <row r="9" spans="1:3" ht="25.5" x14ac:dyDescent="0.25">
      <c r="A9" s="1" t="s">
        <v>14</v>
      </c>
      <c r="B9" s="8">
        <f>B8/B3</f>
        <v>65.187246963562757</v>
      </c>
      <c r="C9" s="4" t="s">
        <v>12</v>
      </c>
    </row>
    <row r="10" spans="1:3" s="3" customFormat="1" x14ac:dyDescent="0.25">
      <c r="A10" s="1" t="s">
        <v>54</v>
      </c>
      <c r="B10" s="10">
        <v>66956</v>
      </c>
      <c r="C10" s="4" t="s">
        <v>7</v>
      </c>
    </row>
    <row r="11" spans="1:3" s="3" customFormat="1" x14ac:dyDescent="0.25">
      <c r="A11" s="1" t="s">
        <v>53</v>
      </c>
      <c r="B11" s="8">
        <f>B10/B3</f>
        <v>33.884615384615387</v>
      </c>
      <c r="C11" s="4" t="s">
        <v>12</v>
      </c>
    </row>
    <row r="12" spans="1:3" x14ac:dyDescent="0.25">
      <c r="A12" s="1" t="s">
        <v>15</v>
      </c>
      <c r="B12" s="11">
        <v>0.28299999999999997</v>
      </c>
      <c r="C12" s="4" t="s">
        <v>7</v>
      </c>
    </row>
    <row r="13" spans="1:3" x14ac:dyDescent="0.25">
      <c r="A13" s="12" t="s">
        <v>16</v>
      </c>
      <c r="B13" s="11">
        <v>4.0000000000000001E-3</v>
      </c>
      <c r="C13" s="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11</vt:i4>
      </vt:variant>
    </vt:vector>
  </HeadingPairs>
  <TitlesOfParts>
    <vt:vector size="13" baseType="lpstr">
      <vt:lpstr>4 wkn</vt:lpstr>
      <vt:lpstr>Parameters</vt:lpstr>
      <vt:lpstr>Aantal_SV_dagen_in_het_jaar</vt:lpstr>
      <vt:lpstr>Franchise_OP_NP</vt:lpstr>
      <vt:lpstr>Franchise_OP_NP_per_uur</vt:lpstr>
      <vt:lpstr>Jaar_van_berekening</vt:lpstr>
      <vt:lpstr>Max_pensioengev_salaris_per_jaar_OP_NP</vt:lpstr>
      <vt:lpstr>Max_pensioengev_salaris_per_uur_OP_NP</vt:lpstr>
      <vt:lpstr>Max_uren_per_gewerkte_dag</vt:lpstr>
      <vt:lpstr>Max_uren_per_sv_dag</vt:lpstr>
      <vt:lpstr>Normuren_per_jaar</vt:lpstr>
      <vt:lpstr>Premie___OP_NP</vt:lpstr>
      <vt:lpstr>Premie__VOS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Lootens</dc:creator>
  <cp:lastModifiedBy>Paul Wijnants</cp:lastModifiedBy>
  <dcterms:created xsi:type="dcterms:W3CDTF">2017-06-06T07:51:58Z</dcterms:created>
  <dcterms:modified xsi:type="dcterms:W3CDTF">2023-01-11T10:14:22Z</dcterms:modified>
</cp:coreProperties>
</file>