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egevensinwinning\UPA\Rekenvoorbeelden\Slagers\2020\"/>
    </mc:Choice>
  </mc:AlternateContent>
  <xr:revisionPtr revIDLastSave="0" documentId="13_ncr:1_{421F8235-C4C2-41BD-96E7-F0E22B8C320B}" xr6:coauthVersionLast="45" xr6:coauthVersionMax="46" xr10:uidLastSave="{00000000-0000-0000-0000-000000000000}"/>
  <bookViews>
    <workbookView xWindow="2250" yWindow="2250" windowWidth="25620" windowHeight="13110" tabRatio="599" xr2:uid="{00000000-000D-0000-FFFF-FFFF00000000}"/>
  </bookViews>
  <sheets>
    <sheet name="4 wkn" sheetId="1" r:id="rId1"/>
    <sheet name="Parameters" sheetId="2" r:id="rId2"/>
  </sheets>
  <definedNames>
    <definedName name="Aantal_SV_dagen_in_het_jaar">Parameters!$B$2</definedName>
    <definedName name="Aantal_weken_in_het_jaar">Parameters!#REF!</definedName>
    <definedName name="Franchise_OP_NP">Parameters!$B$6</definedName>
    <definedName name="Franchise_OP_NP_per_uur">Parameters!$B$7</definedName>
    <definedName name="Jaar_van_berekening">Parameters!$B$1</definedName>
    <definedName name="Max_pensioengev_salaris_per_jaar_OP_NP">Parameters!$B$8</definedName>
    <definedName name="Max_pensioengev_salaris_per_jaar_VPL">Parameters!$B$10</definedName>
    <definedName name="Max_pensioengev_salaris_per_uur_OP_NP">Parameters!$B$9</definedName>
    <definedName name="Max_pensioengev_salaris_per_uur_VPL">Parameters!$B$11</definedName>
    <definedName name="Max_premie_OP_NP">Parameters!#REF!</definedName>
    <definedName name="Max_premie_VOS">Parameters!#REF!</definedName>
    <definedName name="Max_premie_VPL">Parameters!#REF!</definedName>
    <definedName name="Max_uren_per_gewerkte_dag">Parameters!$B$4</definedName>
    <definedName name="Max_uren_per_sv_dag">Parameters!$B$5</definedName>
    <definedName name="Normuren_per_jaar">Parameters!$B$3</definedName>
    <definedName name="Normuren_per_week">Parameters!#REF!</definedName>
    <definedName name="Premie___OP_NP">Parameters!$B$14</definedName>
    <definedName name="Premie___VPL">Parameters!$B$15</definedName>
    <definedName name="Premie__VOS">Parameters!$B$16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4" i="1"/>
  <c r="E3" i="1"/>
  <c r="E20" i="1" l="1"/>
  <c r="G3" i="1"/>
  <c r="H3" i="1" s="1"/>
  <c r="G4" i="1"/>
  <c r="H4" i="1" s="1"/>
  <c r="G13" i="1"/>
  <c r="H13" i="1" s="1"/>
  <c r="G10" i="1"/>
  <c r="H10" i="1" s="1"/>
  <c r="E48" i="1"/>
  <c r="E31" i="1"/>
  <c r="G6" i="1" l="1"/>
  <c r="H6" i="1" s="1"/>
  <c r="G5" i="1"/>
  <c r="H5" i="1" s="1"/>
  <c r="G7" i="1"/>
  <c r="H7" i="1" s="1"/>
  <c r="G14" i="1"/>
  <c r="H14" i="1" s="1"/>
  <c r="G9" i="1"/>
  <c r="H9" i="1" s="1"/>
  <c r="G12" i="1"/>
  <c r="H12" i="1" s="1"/>
  <c r="G8" i="1"/>
  <c r="H8" i="1" s="1"/>
  <c r="G15" i="1"/>
  <c r="H15" i="1" s="1"/>
  <c r="G11" i="1"/>
  <c r="H11" i="1" s="1"/>
  <c r="B3" i="2"/>
  <c r="E57" i="1" l="1"/>
  <c r="E58" i="1"/>
  <c r="E59" i="1"/>
  <c r="E60" i="1"/>
  <c r="E61" i="1"/>
  <c r="E56" i="1"/>
  <c r="C56" i="1"/>
  <c r="C57" i="1" s="1"/>
  <c r="C58" i="1" s="1"/>
  <c r="C59" i="1" s="1"/>
  <c r="C60" i="1" s="1"/>
  <c r="C61" i="1" s="1"/>
  <c r="E21" i="1"/>
  <c r="E22" i="1"/>
  <c r="E23" i="1"/>
  <c r="E24" i="1"/>
  <c r="E25" i="1"/>
  <c r="E26" i="1"/>
  <c r="E27" i="1"/>
  <c r="E28" i="1"/>
  <c r="E29" i="1"/>
  <c r="E30" i="1"/>
  <c r="E32" i="1"/>
  <c r="C20" i="1"/>
  <c r="C21" i="1" s="1"/>
  <c r="C22" i="1" s="1"/>
  <c r="C23" i="1" s="1"/>
  <c r="C24" i="1" s="1"/>
  <c r="C25" i="1" s="1"/>
  <c r="C26" i="1" s="1"/>
  <c r="C27" i="1" s="1"/>
  <c r="C28" i="1" s="1"/>
  <c r="C29" i="1" s="1"/>
  <c r="E38" i="1"/>
  <c r="E39" i="1"/>
  <c r="E40" i="1"/>
  <c r="E41" i="1"/>
  <c r="E42" i="1"/>
  <c r="E43" i="1"/>
  <c r="E44" i="1"/>
  <c r="E45" i="1"/>
  <c r="E46" i="1"/>
  <c r="E47" i="1"/>
  <c r="E49" i="1"/>
  <c r="E37" i="1"/>
  <c r="C37" i="1"/>
  <c r="C38" i="1" s="1"/>
  <c r="C39" i="1" s="1"/>
  <c r="C40" i="1" s="1"/>
  <c r="C41" i="1" s="1"/>
  <c r="C42" i="1" s="1"/>
  <c r="C43" i="1" s="1"/>
  <c r="C44" i="1" s="1"/>
  <c r="C45" i="1" s="1"/>
  <c r="C46" i="1" s="1"/>
  <c r="B13" i="2"/>
  <c r="C47" i="1" l="1"/>
  <c r="C49" i="1" s="1"/>
  <c r="C48" i="1"/>
  <c r="G48" i="1"/>
  <c r="C30" i="1"/>
  <c r="C32" i="1" s="1"/>
  <c r="C31" i="1"/>
  <c r="G31" i="1"/>
  <c r="G57" i="1"/>
  <c r="G22" i="1"/>
  <c r="H22" i="1" s="1"/>
  <c r="G21" i="1"/>
  <c r="H21" i="1" s="1"/>
  <c r="G20" i="1"/>
  <c r="H20" i="1" s="1"/>
  <c r="I20" i="1" s="1"/>
  <c r="G28" i="1"/>
  <c r="H28" i="1" s="1"/>
  <c r="G24" i="1"/>
  <c r="H24" i="1" s="1"/>
  <c r="G38" i="1"/>
  <c r="H38" i="1" s="1"/>
  <c r="G32" i="1"/>
  <c r="H32" i="1" s="1"/>
  <c r="G27" i="1"/>
  <c r="H27" i="1" s="1"/>
  <c r="G23" i="1"/>
  <c r="H23" i="1" s="1"/>
  <c r="G60" i="1"/>
  <c r="G30" i="1"/>
  <c r="H30" i="1" s="1"/>
  <c r="G26" i="1"/>
  <c r="H26" i="1" s="1"/>
  <c r="G59" i="1"/>
  <c r="G29" i="1"/>
  <c r="H29" i="1" s="1"/>
  <c r="G25" i="1"/>
  <c r="H25" i="1" s="1"/>
  <c r="G56" i="1"/>
  <c r="G58" i="1"/>
  <c r="G61" i="1"/>
  <c r="G43" i="1"/>
  <c r="H43" i="1" s="1"/>
  <c r="G49" i="1"/>
  <c r="G44" i="1"/>
  <c r="G40" i="1"/>
  <c r="G47" i="1"/>
  <c r="G39" i="1"/>
  <c r="H39" i="1" s="1"/>
  <c r="G46" i="1"/>
  <c r="G42" i="1"/>
  <c r="G37" i="1"/>
  <c r="H37" i="1" s="1"/>
  <c r="G45" i="1"/>
  <c r="G41" i="1"/>
  <c r="H41" i="1" s="1"/>
  <c r="B11" i="2"/>
  <c r="B9" i="2"/>
  <c r="B7" i="2"/>
  <c r="L20" i="1" l="1"/>
  <c r="H44" i="1"/>
  <c r="I44" i="1" s="1"/>
  <c r="H47" i="1"/>
  <c r="I47" i="1" s="1"/>
  <c r="H46" i="1"/>
  <c r="I46" i="1" s="1"/>
  <c r="H45" i="1"/>
  <c r="I45" i="1" s="1"/>
  <c r="H49" i="1"/>
  <c r="I49" i="1" s="1"/>
  <c r="H48" i="1"/>
  <c r="I48" i="1" s="1"/>
  <c r="H42" i="1"/>
  <c r="I42" i="1" s="1"/>
  <c r="H40" i="1"/>
  <c r="I40" i="1" s="1"/>
  <c r="H31" i="1"/>
  <c r="I31" i="1" s="1"/>
  <c r="H58" i="1"/>
  <c r="I58" i="1" s="1"/>
  <c r="J58" i="1" s="1"/>
  <c r="K58" i="1" s="1"/>
  <c r="H59" i="1"/>
  <c r="I59" i="1" s="1"/>
  <c r="H56" i="1"/>
  <c r="I56" i="1" s="1"/>
  <c r="H57" i="1"/>
  <c r="I57" i="1" s="1"/>
  <c r="H61" i="1"/>
  <c r="I61" i="1" s="1"/>
  <c r="H60" i="1"/>
  <c r="I60" i="1" s="1"/>
  <c r="I14" i="1"/>
  <c r="I32" i="1"/>
  <c r="N32" i="1" s="1"/>
  <c r="O32" i="1" s="1"/>
  <c r="I37" i="1"/>
  <c r="J37" i="1" s="1"/>
  <c r="K37" i="1" s="1"/>
  <c r="W37" i="1" s="1"/>
  <c r="I43" i="1"/>
  <c r="P43" i="1" s="1"/>
  <c r="I41" i="1"/>
  <c r="P41" i="1" s="1"/>
  <c r="I38" i="1"/>
  <c r="P38" i="1" s="1"/>
  <c r="I39" i="1"/>
  <c r="P39" i="1" s="1"/>
  <c r="I28" i="1"/>
  <c r="P28" i="1" s="1"/>
  <c r="C3" i="1"/>
  <c r="C4" i="1" s="1"/>
  <c r="C5" i="1" s="1"/>
  <c r="C6" i="1" s="1"/>
  <c r="C7" i="1" s="1"/>
  <c r="C8" i="1" l="1"/>
  <c r="C9" i="1" s="1"/>
  <c r="C10" i="1" s="1"/>
  <c r="C11" i="1" s="1"/>
  <c r="C12" i="1" s="1"/>
  <c r="C13" i="1" s="1"/>
  <c r="C14" i="1" s="1"/>
  <c r="C15" i="1" s="1"/>
  <c r="P44" i="1"/>
  <c r="L44" i="1"/>
  <c r="M44" i="1" s="1"/>
  <c r="N44" i="1"/>
  <c r="O44" i="1" s="1"/>
  <c r="J44" i="1"/>
  <c r="K44" i="1" s="1"/>
  <c r="P42" i="1"/>
  <c r="Q42" i="1" s="1"/>
  <c r="J42" i="1"/>
  <c r="K42" i="1" s="1"/>
  <c r="N42" i="1"/>
  <c r="O42" i="1" s="1"/>
  <c r="L42" i="1"/>
  <c r="M42" i="1" s="1"/>
  <c r="P46" i="1"/>
  <c r="L46" i="1"/>
  <c r="M46" i="1" s="1"/>
  <c r="N46" i="1"/>
  <c r="O46" i="1" s="1"/>
  <c r="J46" i="1"/>
  <c r="K46" i="1" s="1"/>
  <c r="P49" i="1"/>
  <c r="J49" i="1"/>
  <c r="K49" i="1" s="1"/>
  <c r="N49" i="1"/>
  <c r="O49" i="1" s="1"/>
  <c r="L49" i="1"/>
  <c r="M49" i="1" s="1"/>
  <c r="P56" i="1"/>
  <c r="Q56" i="1" s="1"/>
  <c r="L56" i="1"/>
  <c r="M56" i="1" s="1"/>
  <c r="N56" i="1"/>
  <c r="O56" i="1" s="1"/>
  <c r="U56" i="1" s="1"/>
  <c r="J56" i="1"/>
  <c r="K56" i="1" s="1"/>
  <c r="W56" i="1" s="1"/>
  <c r="X56" i="1" s="1"/>
  <c r="N40" i="1"/>
  <c r="O40" i="1" s="1"/>
  <c r="P40" i="1"/>
  <c r="J40" i="1"/>
  <c r="K40" i="1" s="1"/>
  <c r="L40" i="1"/>
  <c r="M40" i="1" s="1"/>
  <c r="J47" i="1"/>
  <c r="K47" i="1" s="1"/>
  <c r="W47" i="1" s="1"/>
  <c r="P47" i="1"/>
  <c r="L47" i="1"/>
  <c r="M47" i="1" s="1"/>
  <c r="N47" i="1"/>
  <c r="O47" i="1" s="1"/>
  <c r="J45" i="1"/>
  <c r="K45" i="1" s="1"/>
  <c r="W45" i="1" s="1"/>
  <c r="L45" i="1"/>
  <c r="M45" i="1" s="1"/>
  <c r="N45" i="1"/>
  <c r="O45" i="1" s="1"/>
  <c r="P45" i="1"/>
  <c r="N48" i="1"/>
  <c r="O48" i="1" s="1"/>
  <c r="U48" i="1" s="1"/>
  <c r="L48" i="1"/>
  <c r="M48" i="1" s="1"/>
  <c r="J48" i="1"/>
  <c r="K48" i="1" s="1"/>
  <c r="P48" i="1"/>
  <c r="W46" i="1"/>
  <c r="J43" i="1"/>
  <c r="K43" i="1" s="1"/>
  <c r="W43" i="1" s="1"/>
  <c r="L31" i="1"/>
  <c r="M31" i="1" s="1"/>
  <c r="N31" i="1"/>
  <c r="O31" i="1" s="1"/>
  <c r="J31" i="1"/>
  <c r="K31" i="1" s="1"/>
  <c r="P31" i="1"/>
  <c r="P32" i="1"/>
  <c r="J61" i="1"/>
  <c r="K61" i="1" s="1"/>
  <c r="N61" i="1"/>
  <c r="O61" i="1" s="1"/>
  <c r="P58" i="1"/>
  <c r="N58" i="1"/>
  <c r="O58" i="1" s="1"/>
  <c r="L58" i="1"/>
  <c r="M58" i="1" s="1"/>
  <c r="L61" i="1"/>
  <c r="M61" i="1" s="1"/>
  <c r="P61" i="1"/>
  <c r="L59" i="1"/>
  <c r="M59" i="1" s="1"/>
  <c r="J59" i="1"/>
  <c r="K59" i="1" s="1"/>
  <c r="W59" i="1" s="1"/>
  <c r="N59" i="1"/>
  <c r="O59" i="1" s="1"/>
  <c r="P59" i="1"/>
  <c r="L57" i="1"/>
  <c r="M57" i="1" s="1"/>
  <c r="J57" i="1"/>
  <c r="K57" i="1" s="1"/>
  <c r="W58" i="1" s="1"/>
  <c r="N57" i="1"/>
  <c r="O57" i="1" s="1"/>
  <c r="P57" i="1"/>
  <c r="L60" i="1"/>
  <c r="M60" i="1" s="1"/>
  <c r="P60" i="1"/>
  <c r="N60" i="1"/>
  <c r="O60" i="1" s="1"/>
  <c r="U60" i="1" s="1"/>
  <c r="J60" i="1"/>
  <c r="K60" i="1" s="1"/>
  <c r="J28" i="1"/>
  <c r="K28" i="1" s="1"/>
  <c r="N28" i="1"/>
  <c r="O28" i="1" s="1"/>
  <c r="L28" i="1"/>
  <c r="M28" i="1" s="1"/>
  <c r="Q28" i="1" s="1"/>
  <c r="L32" i="1"/>
  <c r="M32" i="1" s="1"/>
  <c r="Q32" i="1" s="1"/>
  <c r="X37" i="1"/>
  <c r="L38" i="1"/>
  <c r="M38" i="1" s="1"/>
  <c r="Q38" i="1" s="1"/>
  <c r="J32" i="1"/>
  <c r="K32" i="1" s="1"/>
  <c r="W32" i="1" s="1"/>
  <c r="L14" i="1"/>
  <c r="N14" i="1"/>
  <c r="J14" i="1"/>
  <c r="P14" i="1"/>
  <c r="N38" i="1"/>
  <c r="O38" i="1" s="1"/>
  <c r="J41" i="1"/>
  <c r="K41" i="1" s="1"/>
  <c r="N41" i="1"/>
  <c r="O41" i="1" s="1"/>
  <c r="N39" i="1"/>
  <c r="O39" i="1" s="1"/>
  <c r="I13" i="1"/>
  <c r="J13" i="1" s="1"/>
  <c r="I11" i="1"/>
  <c r="I7" i="1"/>
  <c r="I30" i="1"/>
  <c r="L30" i="1" s="1"/>
  <c r="M30" i="1" s="1"/>
  <c r="N20" i="1"/>
  <c r="O20" i="1" s="1"/>
  <c r="U20" i="1" s="1"/>
  <c r="I24" i="1"/>
  <c r="N24" i="1" s="1"/>
  <c r="O24" i="1" s="1"/>
  <c r="I15" i="1"/>
  <c r="I10" i="1"/>
  <c r="P37" i="1"/>
  <c r="J39" i="1"/>
  <c r="K39" i="1" s="1"/>
  <c r="W40" i="1" s="1"/>
  <c r="J38" i="1"/>
  <c r="K38" i="1" s="1"/>
  <c r="W38" i="1" s="1"/>
  <c r="X38" i="1" s="1"/>
  <c r="N43" i="1"/>
  <c r="O43" i="1" s="1"/>
  <c r="U43" i="1" s="1"/>
  <c r="I27" i="1"/>
  <c r="J27" i="1" s="1"/>
  <c r="K27" i="1" s="1"/>
  <c r="I26" i="1"/>
  <c r="P26" i="1" s="1"/>
  <c r="I29" i="1"/>
  <c r="J29" i="1" s="1"/>
  <c r="K29" i="1" s="1"/>
  <c r="L43" i="1"/>
  <c r="M43" i="1" s="1"/>
  <c r="Q43" i="1" s="1"/>
  <c r="I9" i="1"/>
  <c r="I23" i="1"/>
  <c r="J23" i="1" s="1"/>
  <c r="K23" i="1" s="1"/>
  <c r="I22" i="1"/>
  <c r="L22" i="1" s="1"/>
  <c r="M22" i="1" s="1"/>
  <c r="I25" i="1"/>
  <c r="N25" i="1" s="1"/>
  <c r="O25" i="1" s="1"/>
  <c r="I12" i="1"/>
  <c r="I8" i="1"/>
  <c r="L41" i="1"/>
  <c r="M41" i="1" s="1"/>
  <c r="Q41" i="1" s="1"/>
  <c r="L39" i="1"/>
  <c r="M39" i="1" s="1"/>
  <c r="Q39" i="1" s="1"/>
  <c r="N37" i="1"/>
  <c r="O37" i="1" s="1"/>
  <c r="U37" i="1" s="1"/>
  <c r="L37" i="1"/>
  <c r="M37" i="1" s="1"/>
  <c r="I21" i="1"/>
  <c r="P21" i="1" s="1"/>
  <c r="V56" i="1"/>
  <c r="I6" i="1"/>
  <c r="I3" i="1"/>
  <c r="K13" i="1" l="1"/>
  <c r="W49" i="1"/>
  <c r="Q46" i="1"/>
  <c r="Q44" i="1"/>
  <c r="K14" i="1"/>
  <c r="U45" i="1"/>
  <c r="W44" i="1"/>
  <c r="U41" i="1"/>
  <c r="W14" i="1"/>
  <c r="U47" i="1"/>
  <c r="Q49" i="1"/>
  <c r="U32" i="1"/>
  <c r="W42" i="1"/>
  <c r="W48" i="1"/>
  <c r="U46" i="1"/>
  <c r="U49" i="1"/>
  <c r="J3" i="1"/>
  <c r="N3" i="1"/>
  <c r="Q59" i="1"/>
  <c r="Q48" i="1"/>
  <c r="Q58" i="1"/>
  <c r="W61" i="1"/>
  <c r="Q45" i="1"/>
  <c r="S46" i="1" s="1"/>
  <c r="Q40" i="1"/>
  <c r="S40" i="1" s="1"/>
  <c r="Q47" i="1"/>
  <c r="R47" i="1" s="1"/>
  <c r="Q31" i="1"/>
  <c r="S32" i="1" s="1"/>
  <c r="W29" i="1"/>
  <c r="Q61" i="1"/>
  <c r="Q60" i="1"/>
  <c r="U58" i="1"/>
  <c r="U59" i="1"/>
  <c r="W57" i="1"/>
  <c r="X57" i="1" s="1"/>
  <c r="U57" i="1"/>
  <c r="V57" i="1" s="1"/>
  <c r="W60" i="1"/>
  <c r="U61" i="1"/>
  <c r="Q57" i="1"/>
  <c r="W28" i="1"/>
  <c r="P30" i="1"/>
  <c r="Q30" i="1" s="1"/>
  <c r="N29" i="1"/>
  <c r="O29" i="1" s="1"/>
  <c r="U29" i="1" s="1"/>
  <c r="V37" i="1"/>
  <c r="J21" i="1"/>
  <c r="K21" i="1" s="1"/>
  <c r="L21" i="1"/>
  <c r="M21" i="1" s="1"/>
  <c r="Q21" i="1" s="1"/>
  <c r="P25" i="1"/>
  <c r="V20" i="1"/>
  <c r="U39" i="1"/>
  <c r="M14" i="1"/>
  <c r="Q14" i="1" s="1"/>
  <c r="O14" i="1"/>
  <c r="W41" i="1"/>
  <c r="U42" i="1"/>
  <c r="N26" i="1"/>
  <c r="O26" i="1" s="1"/>
  <c r="U26" i="1" s="1"/>
  <c r="J24" i="1"/>
  <c r="K24" i="1" s="1"/>
  <c r="W24" i="1" s="1"/>
  <c r="J26" i="1"/>
  <c r="K26" i="1" s="1"/>
  <c r="W27" i="1" s="1"/>
  <c r="P24" i="1"/>
  <c r="L27" i="1"/>
  <c r="M27" i="1" s="1"/>
  <c r="N27" i="1"/>
  <c r="O27" i="1" s="1"/>
  <c r="U28" i="1" s="1"/>
  <c r="M20" i="1"/>
  <c r="R41" i="1"/>
  <c r="U40" i="1"/>
  <c r="N30" i="1"/>
  <c r="O30" i="1" s="1"/>
  <c r="U31" i="1" s="1"/>
  <c r="P3" i="1"/>
  <c r="J25" i="1"/>
  <c r="K25" i="1" s="1"/>
  <c r="N23" i="1"/>
  <c r="O23" i="1" s="1"/>
  <c r="U24" i="1" s="1"/>
  <c r="L24" i="1"/>
  <c r="M24" i="1" s="1"/>
  <c r="L29" i="1"/>
  <c r="M29" i="1" s="1"/>
  <c r="S42" i="1"/>
  <c r="U44" i="1"/>
  <c r="P29" i="1"/>
  <c r="J30" i="1"/>
  <c r="K30" i="1" s="1"/>
  <c r="W31" i="1" s="1"/>
  <c r="S39" i="1"/>
  <c r="U25" i="1"/>
  <c r="R39" i="1"/>
  <c r="P20" i="1"/>
  <c r="P27" i="1"/>
  <c r="Q37" i="1"/>
  <c r="R38" i="1" s="1"/>
  <c r="R43" i="1"/>
  <c r="S43" i="1"/>
  <c r="U38" i="1"/>
  <c r="V38" i="1" s="1"/>
  <c r="J22" i="1"/>
  <c r="K22" i="1" s="1"/>
  <c r="W23" i="1" s="1"/>
  <c r="N22" i="1"/>
  <c r="O22" i="1" s="1"/>
  <c r="I5" i="1"/>
  <c r="L26" i="1"/>
  <c r="M26" i="1" s="1"/>
  <c r="Q26" i="1" s="1"/>
  <c r="P22" i="1"/>
  <c r="Q22" i="1" s="1"/>
  <c r="J20" i="1"/>
  <c r="K20" i="1" s="1"/>
  <c r="W20" i="1" s="1"/>
  <c r="R42" i="1"/>
  <c r="N21" i="1"/>
  <c r="O21" i="1" s="1"/>
  <c r="U21" i="1" s="1"/>
  <c r="V21" i="1" s="1"/>
  <c r="I4" i="1"/>
  <c r="P23" i="1"/>
  <c r="L23" i="1"/>
  <c r="M23" i="1" s="1"/>
  <c r="L25" i="1"/>
  <c r="M25" i="1" s="1"/>
  <c r="W39" i="1"/>
  <c r="X39" i="1" s="1"/>
  <c r="S41" i="1"/>
  <c r="S44" i="1"/>
  <c r="R44" i="1"/>
  <c r="S59" i="1"/>
  <c r="R59" i="1"/>
  <c r="S56" i="1"/>
  <c r="R56" i="1"/>
  <c r="S47" i="1"/>
  <c r="L8" i="1"/>
  <c r="M8" i="1" s="1"/>
  <c r="N8" i="1"/>
  <c r="O8" i="1" s="1"/>
  <c r="L11" i="1"/>
  <c r="M11" i="1" s="1"/>
  <c r="N11" i="1"/>
  <c r="O11" i="1" s="1"/>
  <c r="L10" i="1"/>
  <c r="M10" i="1" s="1"/>
  <c r="N10" i="1"/>
  <c r="O10" i="1" s="1"/>
  <c r="L12" i="1"/>
  <c r="M12" i="1" s="1"/>
  <c r="N12" i="1"/>
  <c r="O12" i="1" s="1"/>
  <c r="L15" i="1"/>
  <c r="M15" i="1" s="1"/>
  <c r="N15" i="1"/>
  <c r="O15" i="1" s="1"/>
  <c r="U15" i="1" s="1"/>
  <c r="L9" i="1"/>
  <c r="M9" i="1" s="1"/>
  <c r="N9" i="1"/>
  <c r="O9" i="1" s="1"/>
  <c r="L6" i="1"/>
  <c r="M6" i="1" s="1"/>
  <c r="N6" i="1"/>
  <c r="O6" i="1" s="1"/>
  <c r="L7" i="1"/>
  <c r="M7" i="1" s="1"/>
  <c r="N7" i="1"/>
  <c r="O7" i="1" s="1"/>
  <c r="L13" i="1"/>
  <c r="M13" i="1" s="1"/>
  <c r="N13" i="1"/>
  <c r="O13" i="1" s="1"/>
  <c r="J10" i="1"/>
  <c r="P10" i="1"/>
  <c r="J12" i="1"/>
  <c r="P12" i="1"/>
  <c r="J15" i="1"/>
  <c r="P15" i="1"/>
  <c r="J9" i="1"/>
  <c r="P9" i="1"/>
  <c r="J6" i="1"/>
  <c r="P6" i="1"/>
  <c r="J7" i="1"/>
  <c r="P7" i="1"/>
  <c r="P13" i="1"/>
  <c r="K3" i="1"/>
  <c r="W3" i="1" s="1"/>
  <c r="J8" i="1"/>
  <c r="P8" i="1"/>
  <c r="J11" i="1"/>
  <c r="P11" i="1"/>
  <c r="S60" i="1" l="1"/>
  <c r="S61" i="1"/>
  <c r="S58" i="1"/>
  <c r="S48" i="1"/>
  <c r="R48" i="1"/>
  <c r="R32" i="1"/>
  <c r="X59" i="1"/>
  <c r="U14" i="1"/>
  <c r="S31" i="1"/>
  <c r="R31" i="1"/>
  <c r="S49" i="1"/>
  <c r="R49" i="1"/>
  <c r="R46" i="1"/>
  <c r="R45" i="1"/>
  <c r="S45" i="1"/>
  <c r="R40" i="1"/>
  <c r="R61" i="1"/>
  <c r="X60" i="1"/>
  <c r="R58" i="1"/>
  <c r="X61" i="1"/>
  <c r="R60" i="1"/>
  <c r="U12" i="1"/>
  <c r="X58" i="1"/>
  <c r="V61" i="1"/>
  <c r="V60" i="1"/>
  <c r="S57" i="1"/>
  <c r="V58" i="1"/>
  <c r="V59" i="1"/>
  <c r="R57" i="1"/>
  <c r="U30" i="1"/>
  <c r="Q25" i="1"/>
  <c r="R26" i="1" s="1"/>
  <c r="V48" i="1"/>
  <c r="X48" i="1"/>
  <c r="V41" i="1"/>
  <c r="Q27" i="1"/>
  <c r="R28" i="1" s="1"/>
  <c r="R37" i="1"/>
  <c r="W30" i="1"/>
  <c r="W25" i="1"/>
  <c r="X49" i="1"/>
  <c r="U27" i="1"/>
  <c r="Q20" i="1"/>
  <c r="R20" i="1" s="1"/>
  <c r="S38" i="1"/>
  <c r="Q24" i="1"/>
  <c r="X43" i="1"/>
  <c r="U13" i="1"/>
  <c r="O3" i="1"/>
  <c r="U3" i="1" s="1"/>
  <c r="V3" i="1" s="1"/>
  <c r="L3" i="1"/>
  <c r="M3" i="1" s="1"/>
  <c r="Q3" i="1" s="1"/>
  <c r="X46" i="1"/>
  <c r="X40" i="1"/>
  <c r="X47" i="1"/>
  <c r="X42" i="1"/>
  <c r="X41" i="1"/>
  <c r="X45" i="1"/>
  <c r="S37" i="1"/>
  <c r="Q29" i="1"/>
  <c r="S30" i="1" s="1"/>
  <c r="V40" i="1"/>
  <c r="W26" i="1"/>
  <c r="X44" i="1"/>
  <c r="V43" i="1"/>
  <c r="V45" i="1"/>
  <c r="V49" i="1"/>
  <c r="V44" i="1"/>
  <c r="V39" i="1"/>
  <c r="Q23" i="1"/>
  <c r="R23" i="1" s="1"/>
  <c r="W22" i="1"/>
  <c r="W21" i="1"/>
  <c r="X21" i="1" s="1"/>
  <c r="U22" i="1"/>
  <c r="V22" i="1" s="1"/>
  <c r="X20" i="1"/>
  <c r="V47" i="1"/>
  <c r="U23" i="1"/>
  <c r="V32" i="1" s="1"/>
  <c r="V46" i="1"/>
  <c r="V42" i="1"/>
  <c r="S22" i="1"/>
  <c r="R22" i="1"/>
  <c r="T56" i="1"/>
  <c r="U7" i="1"/>
  <c r="U8" i="1"/>
  <c r="U9" i="1"/>
  <c r="U10" i="1"/>
  <c r="U11" i="1"/>
  <c r="S26" i="1"/>
  <c r="X3" i="1"/>
  <c r="Q13" i="1"/>
  <c r="S14" i="1" s="1"/>
  <c r="Q6" i="1"/>
  <c r="Q15" i="1"/>
  <c r="S15" i="1" s="1"/>
  <c r="Q12" i="1"/>
  <c r="R14" i="1" s="1"/>
  <c r="Q11" i="1"/>
  <c r="Q7" i="1"/>
  <c r="Q9" i="1"/>
  <c r="Q10" i="1"/>
  <c r="Q8" i="1"/>
  <c r="L4" i="1"/>
  <c r="M4" i="1" s="1"/>
  <c r="N4" i="1"/>
  <c r="O4" i="1" s="1"/>
  <c r="L5" i="1"/>
  <c r="M5" i="1" s="1"/>
  <c r="N5" i="1"/>
  <c r="O5" i="1" s="1"/>
  <c r="J4" i="1"/>
  <c r="K4" i="1" s="1"/>
  <c r="W4" i="1" s="1"/>
  <c r="P4" i="1"/>
  <c r="J5" i="1"/>
  <c r="P5" i="1"/>
  <c r="T61" i="1" l="1"/>
  <c r="R30" i="1"/>
  <c r="T30" i="1"/>
  <c r="S13" i="1"/>
  <c r="V31" i="1"/>
  <c r="V30" i="1"/>
  <c r="T31" i="1"/>
  <c r="T59" i="1"/>
  <c r="T57" i="1"/>
  <c r="T58" i="1"/>
  <c r="T60" i="1"/>
  <c r="S25" i="1"/>
  <c r="R27" i="1"/>
  <c r="S27" i="1"/>
  <c r="U4" i="1"/>
  <c r="V4" i="1" s="1"/>
  <c r="S28" i="1"/>
  <c r="T37" i="1"/>
  <c r="T48" i="1"/>
  <c r="X31" i="1"/>
  <c r="S20" i="1"/>
  <c r="R21" i="1"/>
  <c r="S21" i="1"/>
  <c r="T42" i="1"/>
  <c r="R25" i="1"/>
  <c r="T47" i="1"/>
  <c r="X29" i="1"/>
  <c r="T46" i="1"/>
  <c r="S24" i="1"/>
  <c r="T43" i="1"/>
  <c r="T41" i="1"/>
  <c r="T44" i="1"/>
  <c r="T40" i="1"/>
  <c r="T49" i="1"/>
  <c r="T45" i="1"/>
  <c r="T39" i="1"/>
  <c r="T38" i="1"/>
  <c r="R29" i="1"/>
  <c r="S29" i="1"/>
  <c r="X22" i="1"/>
  <c r="S23" i="1"/>
  <c r="R24" i="1"/>
  <c r="X26" i="1"/>
  <c r="U5" i="1"/>
  <c r="V25" i="1"/>
  <c r="R13" i="1"/>
  <c r="V23" i="1"/>
  <c r="X30" i="1"/>
  <c r="V27" i="1"/>
  <c r="V28" i="1"/>
  <c r="V29" i="1"/>
  <c r="X32" i="1"/>
  <c r="X27" i="1"/>
  <c r="V26" i="1"/>
  <c r="X28" i="1"/>
  <c r="V24" i="1"/>
  <c r="X25" i="1"/>
  <c r="X23" i="1"/>
  <c r="X24" i="1"/>
  <c r="S8" i="1"/>
  <c r="R8" i="1"/>
  <c r="S7" i="1"/>
  <c r="R7" i="1"/>
  <c r="R15" i="1"/>
  <c r="R10" i="1"/>
  <c r="R11" i="1"/>
  <c r="U6" i="1"/>
  <c r="S9" i="1"/>
  <c r="R9" i="1"/>
  <c r="S3" i="1"/>
  <c r="R3" i="1"/>
  <c r="S12" i="1"/>
  <c r="R12" i="1"/>
  <c r="S10" i="1"/>
  <c r="S11" i="1"/>
  <c r="X4" i="1"/>
  <c r="Q4" i="1"/>
  <c r="Q5" i="1"/>
  <c r="K5" i="1"/>
  <c r="W5" i="1" s="1"/>
  <c r="X5" i="1" s="1"/>
  <c r="T32" i="1" l="1"/>
  <c r="V14" i="1"/>
  <c r="T3" i="1"/>
  <c r="T22" i="1"/>
  <c r="T20" i="1"/>
  <c r="T21" i="1"/>
  <c r="T28" i="1"/>
  <c r="T25" i="1"/>
  <c r="V12" i="1"/>
  <c r="T24" i="1"/>
  <c r="T23" i="1"/>
  <c r="T27" i="1"/>
  <c r="V11" i="1"/>
  <c r="T26" i="1"/>
  <c r="T29" i="1"/>
  <c r="V5" i="1"/>
  <c r="V6" i="1"/>
  <c r="V7" i="1"/>
  <c r="V15" i="1"/>
  <c r="V13" i="1"/>
  <c r="R5" i="1"/>
  <c r="V8" i="1"/>
  <c r="V10" i="1"/>
  <c r="V9" i="1"/>
  <c r="S4" i="1"/>
  <c r="T4" i="1" s="1"/>
  <c r="R4" i="1"/>
  <c r="S6" i="1"/>
  <c r="R6" i="1"/>
  <c r="S5" i="1"/>
  <c r="K6" i="1"/>
  <c r="W6" i="1" s="1"/>
  <c r="T14" i="1" l="1"/>
  <c r="T13" i="1"/>
  <c r="T15" i="1"/>
  <c r="T11" i="1"/>
  <c r="T7" i="1"/>
  <c r="T5" i="1"/>
  <c r="T12" i="1"/>
  <c r="T10" i="1"/>
  <c r="T9" i="1"/>
  <c r="T6" i="1"/>
  <c r="T8" i="1"/>
  <c r="X6" i="1"/>
  <c r="K7" i="1"/>
  <c r="W7" i="1" s="1"/>
  <c r="X7" i="1" s="1"/>
  <c r="K8" i="1" l="1"/>
  <c r="W8" i="1" s="1"/>
  <c r="X8" i="1" s="1"/>
  <c r="K9" i="1" l="1"/>
  <c r="W9" i="1" s="1"/>
  <c r="X9" i="1" s="1"/>
  <c r="K10" i="1" l="1"/>
  <c r="W10" i="1" s="1"/>
  <c r="X10" i="1" s="1"/>
  <c r="K11" i="1" l="1"/>
  <c r="W11" i="1" s="1"/>
  <c r="X11" i="1" s="1"/>
  <c r="K12" i="1" l="1"/>
  <c r="W12" i="1" l="1"/>
  <c r="X12" i="1" s="1"/>
  <c r="W13" i="1"/>
  <c r="X13" i="1" l="1"/>
  <c r="X14" i="1"/>
  <c r="K15" i="1"/>
  <c r="W15" i="1" l="1"/>
  <c r="X15" i="1" s="1"/>
</calcChain>
</file>

<file path=xl/sharedStrings.xml><?xml version="1.0" encoding="utf-8"?>
<sst xmlns="http://schemas.openxmlformats.org/spreadsheetml/2006/main" count="186" uniqueCount="60">
  <si>
    <t>Regelingloon</t>
  </si>
  <si>
    <t>Verloonde uren</t>
  </si>
  <si>
    <t>Gemiddeld SV-dagen</t>
  </si>
  <si>
    <t>Max uren per gewerkte dag</t>
  </si>
  <si>
    <t>Max uren per sv dag</t>
  </si>
  <si>
    <t>Jaar van berekening</t>
  </si>
  <si>
    <t>Aantal SV dagen in het jaar</t>
  </si>
  <si>
    <t>Jaarlijks vastgesteld door fonds</t>
  </si>
  <si>
    <t>Normuren per jaar</t>
  </si>
  <si>
    <t>afgeleid</t>
  </si>
  <si>
    <t>Franchise OP/NP</t>
  </si>
  <si>
    <t>Franchise OP/NP per uur</t>
  </si>
  <si>
    <t>afgeleid - geen afronding, in voorbeeld 5 decimalen</t>
  </si>
  <si>
    <t>Max pensioengev salaris per jaar OP/NP</t>
  </si>
  <si>
    <t>Max pensioengev salaris per uur OP/NP</t>
  </si>
  <si>
    <t>Max pensioengev salaris per jaar VPL</t>
  </si>
  <si>
    <t>Max pensioengev salaris per uur VPL</t>
  </si>
  <si>
    <t>Premie % OP/NP</t>
  </si>
  <si>
    <t>Premie % VPL</t>
  </si>
  <si>
    <t>Premie% VOS</t>
  </si>
  <si>
    <t>Cumulatief Regelingloon</t>
  </si>
  <si>
    <t>Cumulatief Gemiddeld SV-dagen</t>
  </si>
  <si>
    <t>Cumulatief Verloonde uren</t>
  </si>
  <si>
    <t>Cumulatief Franchise om mee te rekenen</t>
  </si>
  <si>
    <t>Cumulatief Grondslag BPS om mee te rekenen</t>
  </si>
  <si>
    <t>Cumulatief Max Regelingloon VPL</t>
  </si>
  <si>
    <t>Cumulatief Regeling VPL om mee te rekenen</t>
  </si>
  <si>
    <t>Cumulatief Regelingloon BPS om mee te rekenen</t>
  </si>
  <si>
    <t>Cumulatief Regelingloon VOS om mee te rekenen</t>
  </si>
  <si>
    <t>Max salaris VOS</t>
  </si>
  <si>
    <t>Cumulatief Max SV uren tijdvak 
(7,6u p. SV-dag)</t>
  </si>
  <si>
    <t>BPS/VOS/VPL Uren om mee te rekenen</t>
  </si>
  <si>
    <t>Cumulatief max regelingloon BPS</t>
  </si>
  <si>
    <t>Cumulatief Max regelingloon VOS</t>
  </si>
  <si>
    <t>Fulltime</t>
  </si>
  <si>
    <t>Parttime</t>
  </si>
  <si>
    <t>Premie OP/NP</t>
  </si>
  <si>
    <t>Cumulatief premie OP/NP</t>
  </si>
  <si>
    <t>Premie VPL</t>
  </si>
  <si>
    <t>Cumulatief premie VPL</t>
  </si>
  <si>
    <t>Premie VOS</t>
  </si>
  <si>
    <t>Cumulatief premie VOS</t>
  </si>
  <si>
    <t>Grondslag BPS om mee te rekenen</t>
  </si>
  <si>
    <t xml:space="preserve">Verloonde uren &gt;7,6 </t>
  </si>
  <si>
    <t>Verloonde uren &gt;7,6 en salaris boven maximum</t>
  </si>
  <si>
    <t>Periode</t>
  </si>
  <si>
    <t>P2</t>
  </si>
  <si>
    <t>P1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</si>
  <si>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</si>
  <si>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</si>
  <si>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</si>
  <si>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</si>
  <si>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</si>
  <si>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</si>
  <si>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</si>
  <si>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</si>
  <si>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</si>
  <si>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</si>
  <si>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</si>
  <si>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24 februari in dienst en 9 augustus uit dienst (periode 3 tot en met 8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</si>
</sst>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 ;\-#,##0.00\ "/>
    <numFmt numFmtId="165" formatCode="#,##0_ ;\-#,##0\ "/>
    <numFmt numFmtId="166" formatCode="0.00000"/>
    <numFmt numFmtId="167" formatCode="mmm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44" fontId="3" fillId="2" borderId="1" xfId="1" applyFont="1" applyFill="1" applyBorder="1"/>
    <xf numFmtId="166" fontId="2" fillId="3" borderId="1" xfId="0" applyNumberFormat="1" applyFont="1" applyFill="1" applyBorder="1"/>
    <xf numFmtId="44" fontId="3" fillId="2" borderId="1" xfId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7" fontId="4" fillId="5" borderId="2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4" fontId="0" fillId="3" borderId="0" xfId="0" applyNumberFormat="1" applyFill="1"/>
    <xf numFmtId="44" fontId="0" fillId="3" borderId="0" xfId="1" applyFont="1" applyFill="1"/>
    <xf numFmtId="44" fontId="0" fillId="4" borderId="0" xfId="1" applyFont="1" applyFill="1"/>
    <xf numFmtId="2" fontId="0" fillId="4" borderId="0" xfId="0" applyNumberFormat="1" applyFill="1"/>
    <xf numFmtId="167" fontId="4" fillId="5" borderId="2" xfId="0" applyNumberFormat="1" applyFont="1" applyFill="1" applyBorder="1" applyAlignment="1">
      <alignment horizontal="center" wrapText="1"/>
    </xf>
    <xf numFmtId="0" fontId="5" fillId="0" borderId="0" xfId="0" applyFont="1"/>
    <xf numFmtId="44" fontId="0" fillId="0" borderId="0" xfId="0" applyNumberFormat="1"/>
    <xf numFmtId="44" fontId="0" fillId="0" borderId="0" xfId="1" applyFont="1"/>
    <xf numFmtId="44" fontId="4" fillId="5" borderId="2" xfId="1" applyFont="1" applyFill="1" applyBorder="1" applyAlignment="1">
      <alignment horizontal="center" wrapText="1"/>
    </xf>
    <xf numFmtId="44" fontId="0" fillId="3" borderId="0" xfId="0" applyNumberFormat="1" applyFill="1"/>
    <xf numFmtId="166" fontId="0" fillId="6" borderId="0" xfId="0" applyNumberFormat="1" applyFill="1"/>
    <xf numFmtId="44" fontId="0" fillId="6" borderId="0" xfId="1" applyFont="1" applyFill="1"/>
    <xf numFmtId="44" fontId="0" fillId="4" borderId="0" xfId="0" applyNumberFormat="1" applyFill="1"/>
    <xf numFmtId="0" fontId="0" fillId="0" borderId="0" xfId="0" applyFill="1"/>
  </cellXfs>
  <cellStyles count="5">
    <cellStyle name="Komma 2" xfId="4" xr:uid="{00000000-0005-0000-0000-000000000000}"/>
    <cellStyle name="Komma 3" xfId="3" xr:uid="{00000000-0005-0000-0000-000001000000}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6"/>
  <sheetViews>
    <sheetView tabSelected="1" zoomScaleNormal="100" workbookViewId="0">
      <selection activeCell="D1" sqref="D1"/>
    </sheetView>
  </sheetViews>
  <sheetFormatPr defaultRowHeight="15" x14ac:dyDescent="0.25"/>
  <cols>
    <col min="1" max="1" width="13.42578125" customWidth="1"/>
    <col min="2" max="11" width="13.5703125" customWidth="1"/>
    <col min="12" max="15" width="13.5703125" style="3" customWidth="1"/>
    <col min="16" max="17" width="13.5703125" customWidth="1"/>
    <col min="18" max="18" width="13.5703125" style="3" customWidth="1"/>
    <col min="19" max="19" width="13.5703125" style="22" customWidth="1"/>
    <col min="20" max="26" width="13.5703125" customWidth="1"/>
  </cols>
  <sheetData>
    <row r="1" spans="1:29" s="3" customFormat="1" x14ac:dyDescent="0.25">
      <c r="A1" s="3" t="s">
        <v>34</v>
      </c>
      <c r="B1" s="3" t="s">
        <v>43</v>
      </c>
      <c r="S1" s="22"/>
    </row>
    <row r="2" spans="1:29" s="20" customFormat="1" ht="51.75" x14ac:dyDescent="0.25">
      <c r="A2" s="19" t="s">
        <v>45</v>
      </c>
      <c r="B2" s="19" t="s">
        <v>0</v>
      </c>
      <c r="C2" s="19" t="s">
        <v>20</v>
      </c>
      <c r="D2" s="19" t="s">
        <v>1</v>
      </c>
      <c r="E2" s="19" t="s">
        <v>22</v>
      </c>
      <c r="F2" s="19" t="s">
        <v>2</v>
      </c>
      <c r="G2" s="19" t="s">
        <v>21</v>
      </c>
      <c r="H2" s="19" t="s">
        <v>30</v>
      </c>
      <c r="I2" s="19" t="s">
        <v>31</v>
      </c>
      <c r="J2" s="19" t="s">
        <v>33</v>
      </c>
      <c r="K2" s="19" t="s">
        <v>28</v>
      </c>
      <c r="L2" s="19" t="s">
        <v>32</v>
      </c>
      <c r="M2" s="19" t="s">
        <v>27</v>
      </c>
      <c r="N2" s="19" t="s">
        <v>25</v>
      </c>
      <c r="O2" s="19" t="s">
        <v>26</v>
      </c>
      <c r="P2" s="19" t="s">
        <v>23</v>
      </c>
      <c r="Q2" s="19" t="s">
        <v>24</v>
      </c>
      <c r="R2" s="19" t="s">
        <v>42</v>
      </c>
      <c r="S2" s="23" t="s">
        <v>36</v>
      </c>
      <c r="T2" s="19" t="s">
        <v>37</v>
      </c>
      <c r="U2" s="23" t="s">
        <v>38</v>
      </c>
      <c r="V2" s="19" t="s">
        <v>39</v>
      </c>
      <c r="W2" s="23" t="s">
        <v>40</v>
      </c>
      <c r="X2" s="19" t="s">
        <v>41</v>
      </c>
    </row>
    <row r="3" spans="1:29" x14ac:dyDescent="0.25">
      <c r="A3" s="13" t="s">
        <v>47</v>
      </c>
      <c r="B3" s="17">
        <v>2312.35</v>
      </c>
      <c r="C3" s="16">
        <f>B3</f>
        <v>2312.35</v>
      </c>
      <c r="D3" s="18">
        <v>198</v>
      </c>
      <c r="E3" s="15">
        <f>SUM($D$3:D3)</f>
        <v>198</v>
      </c>
      <c r="F3" s="14">
        <v>20</v>
      </c>
      <c r="G3" s="15">
        <f>SUM($F$3:F3)</f>
        <v>20</v>
      </c>
      <c r="H3" s="14">
        <f>G3*Max_uren_per_sv_dag</f>
        <v>152</v>
      </c>
      <c r="I3" s="25">
        <f>MIN(H3,E3)</f>
        <v>152</v>
      </c>
      <c r="J3" s="15">
        <f>I3*Parameters!$B$13</f>
        <v>4368.8549618320612</v>
      </c>
      <c r="K3" s="26">
        <f t="shared" ref="K3:K15" si="0">MIN(J3,C3)</f>
        <v>2312.35</v>
      </c>
      <c r="L3" s="16">
        <f t="shared" ref="L3:L15" si="1">I3*Max_pensioengev_salaris_per_uur_OP_NP</f>
        <v>8405.4198473282449</v>
      </c>
      <c r="M3" s="26">
        <f t="shared" ref="M3:M15" si="2">MIN(L3,C3)</f>
        <v>2312.35</v>
      </c>
      <c r="N3" s="16">
        <f>I3*Max_pensioengev_salaris_per_uur_VPL</f>
        <v>4368.8549618320612</v>
      </c>
      <c r="O3" s="26">
        <f t="shared" ref="O3:O15" si="3">MIN(N3,C3)</f>
        <v>2312.35</v>
      </c>
      <c r="P3" s="16">
        <f t="shared" ref="P3:P15" si="4">I3*Franchise_OP_NP_per_uur</f>
        <v>1081.4503816793895</v>
      </c>
      <c r="Q3" s="16">
        <f>IF(M3-P3&lt;0,0,M3-P3)</f>
        <v>1230.8996183206104</v>
      </c>
      <c r="R3" s="17">
        <f>Q3</f>
        <v>1230.8996183206104</v>
      </c>
      <c r="S3" s="17">
        <f>Q3*Premie___OP_NP</f>
        <v>249.87262251908393</v>
      </c>
      <c r="T3" s="24">
        <f>SUM($S$3:S3)</f>
        <v>249.87262251908393</v>
      </c>
      <c r="U3" s="27">
        <f>O3*Premie___VPL</f>
        <v>46.247</v>
      </c>
      <c r="V3" s="24">
        <f>SUM($U$3:U3)</f>
        <v>46.247</v>
      </c>
      <c r="W3" s="27">
        <f>K3*Premie__VOS</f>
        <v>25.435849999999999</v>
      </c>
      <c r="X3" s="24">
        <f>SUM($W$3:W3)</f>
        <v>25.435849999999999</v>
      </c>
      <c r="Y3" s="28"/>
      <c r="Z3" s="28"/>
      <c r="AA3" s="28"/>
      <c r="AB3" s="28"/>
      <c r="AC3" s="28"/>
    </row>
    <row r="4" spans="1:29" x14ac:dyDescent="0.25">
      <c r="A4" s="13" t="s">
        <v>46</v>
      </c>
      <c r="B4" s="17">
        <v>2400</v>
      </c>
      <c r="C4" s="16">
        <f t="shared" ref="C4:C11" si="5">C3+B4</f>
        <v>4712.3500000000004</v>
      </c>
      <c r="D4" s="18">
        <v>140</v>
      </c>
      <c r="E4" s="15">
        <f>SUM($D$3:D4)</f>
        <v>338</v>
      </c>
      <c r="F4" s="14">
        <v>20</v>
      </c>
      <c r="G4" s="15">
        <f>SUM($F$3:F4)</f>
        <v>40</v>
      </c>
      <c r="H4" s="14">
        <f t="shared" ref="H4:H15" si="6">G4*Max_uren_per_sv_dag</f>
        <v>304</v>
      </c>
      <c r="I4" s="25">
        <f t="shared" ref="I4:I15" si="7">MIN(H4,E4)</f>
        <v>304</v>
      </c>
      <c r="J4" s="15">
        <f>I4*Parameters!$B$13</f>
        <v>8737.7099236641225</v>
      </c>
      <c r="K4" s="26">
        <f t="shared" si="0"/>
        <v>4712.3500000000004</v>
      </c>
      <c r="L4" s="16">
        <f t="shared" si="1"/>
        <v>16810.83969465649</v>
      </c>
      <c r="M4" s="26">
        <f t="shared" si="2"/>
        <v>4712.3500000000004</v>
      </c>
      <c r="N4" s="16">
        <f t="shared" ref="N4:N15" si="8">I4*Max_pensioengev_salaris_per_uur_VPL</f>
        <v>8737.7099236641225</v>
      </c>
      <c r="O4" s="26">
        <f t="shared" si="3"/>
        <v>4712.3500000000004</v>
      </c>
      <c r="P4" s="16">
        <f t="shared" si="4"/>
        <v>2162.9007633587789</v>
      </c>
      <c r="Q4" s="16">
        <f t="shared" ref="Q4:Q15" si="9">IF(M4-P4&lt;0,0,M4-P4)</f>
        <v>2549.4492366412214</v>
      </c>
      <c r="R4" s="17">
        <f t="shared" ref="R4:R13" si="10">Q4-Q3</f>
        <v>1318.549618320611</v>
      </c>
      <c r="S4" s="17">
        <f t="shared" ref="S4:S12" si="11">(Q4-Q3)*Premie___OP_NP</f>
        <v>267.66557251908404</v>
      </c>
      <c r="T4" s="24">
        <f>SUM($S$3:S4)</f>
        <v>517.53819503816794</v>
      </c>
      <c r="U4" s="27">
        <f t="shared" ref="U4:U15" si="12">(O4-O3)*Premie___VPL</f>
        <v>48.000000000000007</v>
      </c>
      <c r="V4" s="24">
        <f>SUM($U$3:U4)</f>
        <v>94.247000000000014</v>
      </c>
      <c r="W4" s="27">
        <f t="shared" ref="W4:W15" si="13">(K4-K3)*Premie__VOS</f>
        <v>26.400000000000002</v>
      </c>
      <c r="X4" s="24">
        <f>SUM($W$3:W4)</f>
        <v>51.835850000000001</v>
      </c>
    </row>
    <row r="5" spans="1:29" x14ac:dyDescent="0.25">
      <c r="A5" s="13" t="s">
        <v>48</v>
      </c>
      <c r="B5" s="17">
        <v>2400</v>
      </c>
      <c r="C5" s="16">
        <f t="shared" si="5"/>
        <v>7112.35</v>
      </c>
      <c r="D5" s="18">
        <v>155</v>
      </c>
      <c r="E5" s="15">
        <f>SUM($D$3:D5)</f>
        <v>493</v>
      </c>
      <c r="F5" s="14">
        <v>20</v>
      </c>
      <c r="G5" s="15">
        <f>SUM($F$3:F5)</f>
        <v>60</v>
      </c>
      <c r="H5" s="14">
        <f t="shared" si="6"/>
        <v>456</v>
      </c>
      <c r="I5" s="25">
        <f t="shared" si="7"/>
        <v>456</v>
      </c>
      <c r="J5" s="15">
        <f>I5*Parameters!$B$13</f>
        <v>13106.564885496184</v>
      </c>
      <c r="K5" s="26">
        <f t="shared" si="0"/>
        <v>7112.35</v>
      </c>
      <c r="L5" s="16">
        <f t="shared" si="1"/>
        <v>25216.259541984735</v>
      </c>
      <c r="M5" s="26">
        <f t="shared" si="2"/>
        <v>7112.35</v>
      </c>
      <c r="N5" s="16">
        <f t="shared" si="8"/>
        <v>13106.564885496184</v>
      </c>
      <c r="O5" s="26">
        <f t="shared" si="3"/>
        <v>7112.35</v>
      </c>
      <c r="P5" s="16">
        <f t="shared" si="4"/>
        <v>3244.3511450381684</v>
      </c>
      <c r="Q5" s="16">
        <f t="shared" si="9"/>
        <v>3867.998854961832</v>
      </c>
      <c r="R5" s="17">
        <f t="shared" si="10"/>
        <v>1318.5496183206105</v>
      </c>
      <c r="S5" s="17">
        <f t="shared" si="11"/>
        <v>267.66557251908398</v>
      </c>
      <c r="T5" s="24">
        <f>SUM($S$3:S5)</f>
        <v>785.20376755725192</v>
      </c>
      <c r="U5" s="27">
        <f t="shared" si="12"/>
        <v>48</v>
      </c>
      <c r="V5" s="24">
        <f>SUM($U$3:U5)</f>
        <v>142.24700000000001</v>
      </c>
      <c r="W5" s="27">
        <f t="shared" si="13"/>
        <v>26.4</v>
      </c>
      <c r="X5" s="24">
        <f>SUM($W$3:W5)</f>
        <v>78.235849999999999</v>
      </c>
    </row>
    <row r="6" spans="1:29" x14ac:dyDescent="0.25">
      <c r="A6" s="13" t="s">
        <v>49</v>
      </c>
      <c r="B6" s="17">
        <v>3000</v>
      </c>
      <c r="C6" s="16">
        <f t="shared" si="5"/>
        <v>10112.35</v>
      </c>
      <c r="D6" s="18">
        <v>220</v>
      </c>
      <c r="E6" s="15">
        <f>SUM($D$3:D6)</f>
        <v>713</v>
      </c>
      <c r="F6" s="14">
        <v>20</v>
      </c>
      <c r="G6" s="15">
        <f>SUM($F$3:F6)</f>
        <v>80</v>
      </c>
      <c r="H6" s="14">
        <f t="shared" si="6"/>
        <v>608</v>
      </c>
      <c r="I6" s="25">
        <f t="shared" si="7"/>
        <v>608</v>
      </c>
      <c r="J6" s="15">
        <f>I6*Parameters!$B$13</f>
        <v>17475.419847328245</v>
      </c>
      <c r="K6" s="26">
        <f t="shared" si="0"/>
        <v>10112.35</v>
      </c>
      <c r="L6" s="16">
        <f t="shared" si="1"/>
        <v>33621.67938931298</v>
      </c>
      <c r="M6" s="26">
        <f t="shared" si="2"/>
        <v>10112.35</v>
      </c>
      <c r="N6" s="16">
        <f t="shared" si="8"/>
        <v>17475.419847328245</v>
      </c>
      <c r="O6" s="26">
        <f t="shared" si="3"/>
        <v>10112.35</v>
      </c>
      <c r="P6" s="16">
        <f t="shared" si="4"/>
        <v>4325.8015267175579</v>
      </c>
      <c r="Q6" s="16">
        <f t="shared" si="9"/>
        <v>5786.5484732824425</v>
      </c>
      <c r="R6" s="17">
        <f t="shared" si="10"/>
        <v>1918.5496183206105</v>
      </c>
      <c r="S6" s="17">
        <f t="shared" si="11"/>
        <v>389.46557251908399</v>
      </c>
      <c r="T6" s="24">
        <f>SUM($S$3:S6)</f>
        <v>1174.6693400763359</v>
      </c>
      <c r="U6" s="27">
        <f t="shared" si="12"/>
        <v>60</v>
      </c>
      <c r="V6" s="24">
        <f>SUM($U$3:U6)</f>
        <v>202.24700000000001</v>
      </c>
      <c r="W6" s="27">
        <f t="shared" si="13"/>
        <v>33</v>
      </c>
      <c r="X6" s="24">
        <f>SUM($W$3:W6)</f>
        <v>111.23585</v>
      </c>
      <c r="Y6" s="21"/>
    </row>
    <row r="7" spans="1:29" x14ac:dyDescent="0.25">
      <c r="A7" s="13" t="s">
        <v>50</v>
      </c>
      <c r="B7" s="17">
        <v>5700</v>
      </c>
      <c r="C7" s="16">
        <f t="shared" si="5"/>
        <v>15812.35</v>
      </c>
      <c r="D7" s="18">
        <v>80</v>
      </c>
      <c r="E7" s="15">
        <f>SUM($D$3:D7)</f>
        <v>793</v>
      </c>
      <c r="F7" s="14">
        <v>20</v>
      </c>
      <c r="G7" s="15">
        <f>SUM($F$3:F7)</f>
        <v>100</v>
      </c>
      <c r="H7" s="14">
        <f t="shared" si="6"/>
        <v>760</v>
      </c>
      <c r="I7" s="25">
        <f t="shared" si="7"/>
        <v>760</v>
      </c>
      <c r="J7" s="15">
        <f>I7*Parameters!$B$13</f>
        <v>21844.274809160306</v>
      </c>
      <c r="K7" s="26">
        <f t="shared" si="0"/>
        <v>15812.35</v>
      </c>
      <c r="L7" s="16">
        <f t="shared" si="1"/>
        <v>42027.099236641225</v>
      </c>
      <c r="M7" s="26">
        <f t="shared" si="2"/>
        <v>15812.35</v>
      </c>
      <c r="N7" s="16">
        <f t="shared" si="8"/>
        <v>21844.274809160306</v>
      </c>
      <c r="O7" s="26">
        <f t="shared" si="3"/>
        <v>15812.35</v>
      </c>
      <c r="P7" s="16">
        <f t="shared" si="4"/>
        <v>5407.2519083969473</v>
      </c>
      <c r="Q7" s="16">
        <f t="shared" si="9"/>
        <v>10405.098091603053</v>
      </c>
      <c r="R7" s="17">
        <f t="shared" si="10"/>
        <v>4618.5496183206105</v>
      </c>
      <c r="S7" s="17">
        <f t="shared" si="11"/>
        <v>937.56557251908396</v>
      </c>
      <c r="T7" s="24">
        <f>SUM($S$3:S7)</f>
        <v>2112.2349125954197</v>
      </c>
      <c r="U7" s="27">
        <f t="shared" si="12"/>
        <v>114</v>
      </c>
      <c r="V7" s="24">
        <f>SUM($U$3:U7)</f>
        <v>316.24700000000001</v>
      </c>
      <c r="W7" s="27">
        <f t="shared" si="13"/>
        <v>62.699999999999996</v>
      </c>
      <c r="X7" s="24">
        <f>SUM($W$3:W7)</f>
        <v>173.93584999999999</v>
      </c>
    </row>
    <row r="8" spans="1:29" x14ac:dyDescent="0.25">
      <c r="A8" s="13" t="s">
        <v>51</v>
      </c>
      <c r="B8" s="17">
        <v>2700</v>
      </c>
      <c r="C8" s="16">
        <f>C7+B8</f>
        <v>18512.349999999999</v>
      </c>
      <c r="D8" s="18">
        <v>161</v>
      </c>
      <c r="E8" s="15">
        <f>SUM($D$3:D8)</f>
        <v>954</v>
      </c>
      <c r="F8" s="14">
        <v>20</v>
      </c>
      <c r="G8" s="15">
        <f>SUM($F$3:F8)</f>
        <v>120</v>
      </c>
      <c r="H8" s="14">
        <f t="shared" si="6"/>
        <v>912</v>
      </c>
      <c r="I8" s="25">
        <f t="shared" si="7"/>
        <v>912</v>
      </c>
      <c r="J8" s="15">
        <f>I8*Parameters!$B$13</f>
        <v>26213.129770992367</v>
      </c>
      <c r="K8" s="26">
        <f t="shared" si="0"/>
        <v>18512.349999999999</v>
      </c>
      <c r="L8" s="16">
        <f t="shared" si="1"/>
        <v>50432.51908396947</v>
      </c>
      <c r="M8" s="26">
        <f t="shared" si="2"/>
        <v>18512.349999999999</v>
      </c>
      <c r="N8" s="16">
        <f t="shared" si="8"/>
        <v>26213.129770992367</v>
      </c>
      <c r="O8" s="26">
        <f t="shared" si="3"/>
        <v>18512.349999999999</v>
      </c>
      <c r="P8" s="16">
        <f t="shared" si="4"/>
        <v>6488.7022900763368</v>
      </c>
      <c r="Q8" s="16">
        <f t="shared" si="9"/>
        <v>12023.647709923662</v>
      </c>
      <c r="R8" s="17">
        <f t="shared" si="10"/>
        <v>1618.5496183206087</v>
      </c>
      <c r="S8" s="17">
        <f t="shared" si="11"/>
        <v>328.56557251908362</v>
      </c>
      <c r="T8" s="24">
        <f>SUM($S$3:S8)</f>
        <v>2440.8004851145033</v>
      </c>
      <c r="U8" s="27">
        <f t="shared" si="12"/>
        <v>53.999999999999964</v>
      </c>
      <c r="V8" s="24">
        <f>SUM($U$3:U8)</f>
        <v>370.24699999999996</v>
      </c>
      <c r="W8" s="27">
        <f t="shared" si="13"/>
        <v>29.699999999999978</v>
      </c>
      <c r="X8" s="24">
        <f>SUM($W$3:W8)</f>
        <v>203.63584999999998</v>
      </c>
    </row>
    <row r="9" spans="1:29" x14ac:dyDescent="0.25">
      <c r="A9" s="13" t="s">
        <v>52</v>
      </c>
      <c r="B9" s="17">
        <v>2700</v>
      </c>
      <c r="C9" s="16">
        <f t="shared" si="5"/>
        <v>21212.35</v>
      </c>
      <c r="D9" s="18">
        <v>152</v>
      </c>
      <c r="E9" s="15">
        <f>SUM($D$3:D9)</f>
        <v>1106</v>
      </c>
      <c r="F9" s="14">
        <v>20</v>
      </c>
      <c r="G9" s="15">
        <f>SUM($F$3:F9)</f>
        <v>140</v>
      </c>
      <c r="H9" s="14">
        <f t="shared" si="6"/>
        <v>1064</v>
      </c>
      <c r="I9" s="25">
        <f t="shared" si="7"/>
        <v>1064</v>
      </c>
      <c r="J9" s="15">
        <f>I9*Parameters!$B$13</f>
        <v>30581.984732824429</v>
      </c>
      <c r="K9" s="26">
        <f t="shared" si="0"/>
        <v>21212.35</v>
      </c>
      <c r="L9" s="16">
        <f t="shared" si="1"/>
        <v>58837.938931297715</v>
      </c>
      <c r="M9" s="26">
        <f t="shared" si="2"/>
        <v>21212.35</v>
      </c>
      <c r="N9" s="16">
        <f t="shared" si="8"/>
        <v>30581.984732824429</v>
      </c>
      <c r="O9" s="26">
        <f t="shared" si="3"/>
        <v>21212.35</v>
      </c>
      <c r="P9" s="16">
        <f t="shared" si="4"/>
        <v>7570.1526717557254</v>
      </c>
      <c r="Q9" s="16">
        <f t="shared" si="9"/>
        <v>13642.197328244274</v>
      </c>
      <c r="R9" s="17">
        <f t="shared" si="10"/>
        <v>1618.5496183206124</v>
      </c>
      <c r="S9" s="17">
        <f t="shared" si="11"/>
        <v>328.56557251908436</v>
      </c>
      <c r="T9" s="24">
        <f>SUM($S$3:S9)</f>
        <v>2769.3660576335878</v>
      </c>
      <c r="U9" s="27">
        <f t="shared" si="12"/>
        <v>54</v>
      </c>
      <c r="V9" s="24">
        <f>SUM($U$3:U9)</f>
        <v>424.24699999999996</v>
      </c>
      <c r="W9" s="27">
        <f t="shared" si="13"/>
        <v>29.7</v>
      </c>
      <c r="X9" s="24">
        <f>SUM($W$3:W9)</f>
        <v>233.33584999999997</v>
      </c>
    </row>
    <row r="10" spans="1:29" x14ac:dyDescent="0.25">
      <c r="A10" s="13" t="s">
        <v>53</v>
      </c>
      <c r="B10" s="17">
        <v>2700</v>
      </c>
      <c r="C10" s="16">
        <f t="shared" si="5"/>
        <v>23912.35</v>
      </c>
      <c r="D10" s="18">
        <v>152</v>
      </c>
      <c r="E10" s="15">
        <f>SUM($D$3:D10)</f>
        <v>1258</v>
      </c>
      <c r="F10" s="14">
        <v>20</v>
      </c>
      <c r="G10" s="15">
        <f>SUM($F$3:F10)</f>
        <v>160</v>
      </c>
      <c r="H10" s="14">
        <f t="shared" si="6"/>
        <v>1216</v>
      </c>
      <c r="I10" s="25">
        <f t="shared" si="7"/>
        <v>1216</v>
      </c>
      <c r="J10" s="15">
        <f>I10*Parameters!$B$13</f>
        <v>34950.83969465649</v>
      </c>
      <c r="K10" s="26">
        <f t="shared" si="0"/>
        <v>23912.35</v>
      </c>
      <c r="L10" s="16">
        <f t="shared" si="1"/>
        <v>67243.35877862596</v>
      </c>
      <c r="M10" s="26">
        <f t="shared" si="2"/>
        <v>23912.35</v>
      </c>
      <c r="N10" s="16">
        <f t="shared" si="8"/>
        <v>34950.83969465649</v>
      </c>
      <c r="O10" s="26">
        <f t="shared" si="3"/>
        <v>23912.35</v>
      </c>
      <c r="P10" s="16">
        <f t="shared" si="4"/>
        <v>8651.6030534351157</v>
      </c>
      <c r="Q10" s="16">
        <f t="shared" si="9"/>
        <v>15260.746946564883</v>
      </c>
      <c r="R10" s="17">
        <f t="shared" si="10"/>
        <v>1618.5496183206087</v>
      </c>
      <c r="S10" s="17">
        <f t="shared" si="11"/>
        <v>328.56557251908362</v>
      </c>
      <c r="T10" s="24">
        <f>SUM($S$3:S10)</f>
        <v>3097.9316301526715</v>
      </c>
      <c r="U10" s="27">
        <f t="shared" si="12"/>
        <v>54</v>
      </c>
      <c r="V10" s="24">
        <f>SUM($U$3:U10)</f>
        <v>478.24699999999996</v>
      </c>
      <c r="W10" s="27">
        <f t="shared" si="13"/>
        <v>29.7</v>
      </c>
      <c r="X10" s="24">
        <f>SUM($W$3:W10)</f>
        <v>263.03584999999998</v>
      </c>
    </row>
    <row r="11" spans="1:29" x14ac:dyDescent="0.25">
      <c r="A11" s="13" t="s">
        <v>54</v>
      </c>
      <c r="B11" s="17">
        <v>2700</v>
      </c>
      <c r="C11" s="16">
        <f t="shared" si="5"/>
        <v>26612.35</v>
      </c>
      <c r="D11" s="18">
        <v>152</v>
      </c>
      <c r="E11" s="15">
        <f>SUM($D$3:D11)</f>
        <v>1410</v>
      </c>
      <c r="F11" s="14">
        <v>20</v>
      </c>
      <c r="G11" s="15">
        <f>SUM($F$3:F11)</f>
        <v>180</v>
      </c>
      <c r="H11" s="14">
        <f t="shared" si="6"/>
        <v>1368</v>
      </c>
      <c r="I11" s="25">
        <f t="shared" si="7"/>
        <v>1368</v>
      </c>
      <c r="J11" s="15">
        <f>I11*Parameters!$B$13</f>
        <v>39319.694656488551</v>
      </c>
      <c r="K11" s="26">
        <f t="shared" si="0"/>
        <v>26612.35</v>
      </c>
      <c r="L11" s="16">
        <f t="shared" si="1"/>
        <v>75648.778625954204</v>
      </c>
      <c r="M11" s="26">
        <f t="shared" si="2"/>
        <v>26612.35</v>
      </c>
      <c r="N11" s="16">
        <f t="shared" si="8"/>
        <v>39319.694656488551</v>
      </c>
      <c r="O11" s="26">
        <f t="shared" si="3"/>
        <v>26612.35</v>
      </c>
      <c r="P11" s="16">
        <f t="shared" si="4"/>
        <v>9733.0534351145052</v>
      </c>
      <c r="Q11" s="16">
        <f t="shared" si="9"/>
        <v>16879.296564885495</v>
      </c>
      <c r="R11" s="17">
        <f t="shared" si="10"/>
        <v>1618.5496183206124</v>
      </c>
      <c r="S11" s="17">
        <f t="shared" si="11"/>
        <v>328.56557251908436</v>
      </c>
      <c r="T11" s="24">
        <f>SUM($S$3:S11)</f>
        <v>3426.497202671756</v>
      </c>
      <c r="U11" s="27">
        <f t="shared" si="12"/>
        <v>54</v>
      </c>
      <c r="V11" s="24">
        <f>SUM($U$3:U11)</f>
        <v>532.24699999999996</v>
      </c>
      <c r="W11" s="27">
        <f t="shared" si="13"/>
        <v>29.7</v>
      </c>
      <c r="X11" s="24">
        <f>SUM($W$3:W11)</f>
        <v>292.73584999999997</v>
      </c>
    </row>
    <row r="12" spans="1:29" x14ac:dyDescent="0.25">
      <c r="A12" s="13" t="s">
        <v>55</v>
      </c>
      <c r="B12" s="17">
        <v>2700</v>
      </c>
      <c r="C12" s="16">
        <f>C11+B12</f>
        <v>29312.35</v>
      </c>
      <c r="D12" s="18">
        <v>198</v>
      </c>
      <c r="E12" s="15">
        <f>SUM($D$3:D12)</f>
        <v>1608</v>
      </c>
      <c r="F12" s="14">
        <v>20</v>
      </c>
      <c r="G12" s="15">
        <f>SUM($F$3:F12)</f>
        <v>200</v>
      </c>
      <c r="H12" s="14">
        <f t="shared" si="6"/>
        <v>1520</v>
      </c>
      <c r="I12" s="25">
        <f t="shared" si="7"/>
        <v>1520</v>
      </c>
      <c r="J12" s="15">
        <f>I12*Parameters!$B$13</f>
        <v>43688.549618320612</v>
      </c>
      <c r="K12" s="26">
        <f t="shared" si="0"/>
        <v>29312.35</v>
      </c>
      <c r="L12" s="16">
        <f t="shared" si="1"/>
        <v>84054.198473282449</v>
      </c>
      <c r="M12" s="26">
        <f t="shared" si="2"/>
        <v>29312.35</v>
      </c>
      <c r="N12" s="16">
        <f t="shared" si="8"/>
        <v>43688.549618320612</v>
      </c>
      <c r="O12" s="26">
        <f t="shared" si="3"/>
        <v>29312.35</v>
      </c>
      <c r="P12" s="16">
        <f t="shared" si="4"/>
        <v>10814.503816793895</v>
      </c>
      <c r="Q12" s="16">
        <f t="shared" si="9"/>
        <v>18497.846183206104</v>
      </c>
      <c r="R12" s="17">
        <f t="shared" si="10"/>
        <v>1618.5496183206087</v>
      </c>
      <c r="S12" s="17">
        <f t="shared" si="11"/>
        <v>328.56557251908362</v>
      </c>
      <c r="T12" s="24">
        <f>SUM($S$3:S12)</f>
        <v>3755.0627751908396</v>
      </c>
      <c r="U12" s="27">
        <f t="shared" si="12"/>
        <v>54</v>
      </c>
      <c r="V12" s="24">
        <f>SUM($U$3:U12)</f>
        <v>586.24699999999996</v>
      </c>
      <c r="W12" s="27">
        <f t="shared" si="13"/>
        <v>29.7</v>
      </c>
      <c r="X12" s="24">
        <f>SUM($W$3:W12)</f>
        <v>322.43584999999996</v>
      </c>
    </row>
    <row r="13" spans="1:29" x14ac:dyDescent="0.25">
      <c r="A13" s="13" t="s">
        <v>56</v>
      </c>
      <c r="B13" s="17">
        <v>2700</v>
      </c>
      <c r="C13" s="16">
        <f>C12+B13</f>
        <v>32012.35</v>
      </c>
      <c r="D13" s="18">
        <v>198</v>
      </c>
      <c r="E13" s="15">
        <f>SUM($D$3:D13)</f>
        <v>1806</v>
      </c>
      <c r="F13" s="14">
        <v>20</v>
      </c>
      <c r="G13" s="15">
        <f>SUM($F$3:F13)</f>
        <v>220</v>
      </c>
      <c r="H13" s="14">
        <f t="shared" si="6"/>
        <v>1672</v>
      </c>
      <c r="I13" s="25">
        <f t="shared" si="7"/>
        <v>1672</v>
      </c>
      <c r="J13" s="15">
        <f>I13*Parameters!$B$13</f>
        <v>48057.404580152674</v>
      </c>
      <c r="K13" s="26">
        <f>MIN(J13,C13)</f>
        <v>32012.35</v>
      </c>
      <c r="L13" s="16">
        <f t="shared" si="1"/>
        <v>92459.618320610694</v>
      </c>
      <c r="M13" s="26">
        <f t="shared" si="2"/>
        <v>32012.35</v>
      </c>
      <c r="N13" s="16">
        <f t="shared" si="8"/>
        <v>48057.404580152674</v>
      </c>
      <c r="O13" s="26">
        <f t="shared" si="3"/>
        <v>32012.35</v>
      </c>
      <c r="P13" s="16">
        <f t="shared" si="4"/>
        <v>11895.954198473284</v>
      </c>
      <c r="Q13" s="16">
        <f t="shared" si="9"/>
        <v>20116.395801526713</v>
      </c>
      <c r="R13" s="17">
        <f t="shared" si="10"/>
        <v>1618.5496183206087</v>
      </c>
      <c r="S13" s="17">
        <f>(Q13-Q12)*Premie___OP_NP</f>
        <v>328.56557251908362</v>
      </c>
      <c r="T13" s="24">
        <f>SUM($S$3:S13)</f>
        <v>4083.6283477099232</v>
      </c>
      <c r="U13" s="27">
        <f t="shared" si="12"/>
        <v>54</v>
      </c>
      <c r="V13" s="24">
        <f>SUM($U$3:U13)</f>
        <v>640.24699999999996</v>
      </c>
      <c r="W13" s="27">
        <f t="shared" si="13"/>
        <v>29.7</v>
      </c>
      <c r="X13" s="24">
        <f>SUM($W$3:W13)</f>
        <v>352.13584999999995</v>
      </c>
    </row>
    <row r="14" spans="1:29" s="3" customFormat="1" x14ac:dyDescent="0.25">
      <c r="A14" s="13" t="s">
        <v>57</v>
      </c>
      <c r="B14" s="17">
        <v>5000</v>
      </c>
      <c r="C14" s="16">
        <f>C13+B14</f>
        <v>37012.35</v>
      </c>
      <c r="D14" s="18">
        <v>198</v>
      </c>
      <c r="E14" s="15">
        <f>SUM($D$3:D14)</f>
        <v>2004</v>
      </c>
      <c r="F14" s="14">
        <v>20</v>
      </c>
      <c r="G14" s="15">
        <f>SUM($F$3:F14)</f>
        <v>240</v>
      </c>
      <c r="H14" s="14">
        <f t="shared" si="6"/>
        <v>1824</v>
      </c>
      <c r="I14" s="25">
        <f t="shared" ref="I14" si="14">MIN(H14,E14)</f>
        <v>1824</v>
      </c>
      <c r="J14" s="15">
        <f>I14*Parameters!$B$13</f>
        <v>52426.259541984735</v>
      </c>
      <c r="K14" s="26">
        <f>MIN(J14,C14)</f>
        <v>37012.35</v>
      </c>
      <c r="L14" s="16">
        <f t="shared" ref="L14" si="15">I14*Max_pensioengev_salaris_per_uur_OP_NP</f>
        <v>100865.03816793894</v>
      </c>
      <c r="M14" s="26">
        <f t="shared" ref="M14" si="16">MIN(L14,C14)</f>
        <v>37012.35</v>
      </c>
      <c r="N14" s="16">
        <f t="shared" ref="N14" si="17">I14*Max_pensioengev_salaris_per_uur_VPL</f>
        <v>52426.259541984735</v>
      </c>
      <c r="O14" s="26">
        <f t="shared" ref="O14" si="18">MIN(N14,C14)</f>
        <v>37012.35</v>
      </c>
      <c r="P14" s="16">
        <f t="shared" ref="P14" si="19">I14*Franchise_OP_NP_per_uur</f>
        <v>12977.404580152674</v>
      </c>
      <c r="Q14" s="16">
        <f t="shared" ref="Q14" si="20">IF(M14-P14&lt;0,0,M14-P14)</f>
        <v>24034.945419847325</v>
      </c>
      <c r="R14" s="17">
        <f>Q14-Q12</f>
        <v>5537.0992366412211</v>
      </c>
      <c r="S14" s="17">
        <f>(Q14-Q13)*Premie___OP_NP</f>
        <v>795.46557251908439</v>
      </c>
      <c r="T14" s="24">
        <f>SUM($S$3:S14)</f>
        <v>4879.0939202290074</v>
      </c>
      <c r="U14" s="27">
        <f t="shared" si="12"/>
        <v>100</v>
      </c>
      <c r="V14" s="24">
        <f>SUM($U$3:U14)</f>
        <v>740.24699999999996</v>
      </c>
      <c r="W14" s="27">
        <f t="shared" si="13"/>
        <v>55</v>
      </c>
      <c r="X14" s="24">
        <f>SUM($W$3:W14)</f>
        <v>407.13584999999995</v>
      </c>
    </row>
    <row r="15" spans="1:29" x14ac:dyDescent="0.25">
      <c r="A15" s="13" t="s">
        <v>58</v>
      </c>
      <c r="B15" s="17">
        <v>5000</v>
      </c>
      <c r="C15" s="16">
        <f>C14+B15</f>
        <v>42012.35</v>
      </c>
      <c r="D15" s="18">
        <v>198</v>
      </c>
      <c r="E15" s="15">
        <f>SUM($D$3:D15)</f>
        <v>2202</v>
      </c>
      <c r="F15" s="14">
        <v>25</v>
      </c>
      <c r="G15" s="15">
        <f>SUM($F$3:F15)</f>
        <v>265</v>
      </c>
      <c r="H15" s="14">
        <f t="shared" si="6"/>
        <v>2014</v>
      </c>
      <c r="I15" s="25">
        <f t="shared" si="7"/>
        <v>2014</v>
      </c>
      <c r="J15" s="15">
        <f>I15*Parameters!$B$13</f>
        <v>57887.32824427481</v>
      </c>
      <c r="K15" s="26">
        <f t="shared" si="0"/>
        <v>42012.35</v>
      </c>
      <c r="L15" s="16">
        <f t="shared" si="1"/>
        <v>111371.81297709924</v>
      </c>
      <c r="M15" s="26">
        <f t="shared" si="2"/>
        <v>42012.35</v>
      </c>
      <c r="N15" s="16">
        <f t="shared" si="8"/>
        <v>57887.32824427481</v>
      </c>
      <c r="O15" s="26">
        <f t="shared" si="3"/>
        <v>42012.35</v>
      </c>
      <c r="P15" s="16">
        <f t="shared" si="4"/>
        <v>14329.21755725191</v>
      </c>
      <c r="Q15" s="16">
        <f t="shared" si="9"/>
        <v>27683.132442748087</v>
      </c>
      <c r="R15" s="17">
        <f>Q15-Q13</f>
        <v>7566.7366412213742</v>
      </c>
      <c r="S15" s="17">
        <f>(Q15-Q14)*Premie___OP_NP</f>
        <v>740.58196564885475</v>
      </c>
      <c r="T15" s="24">
        <f>SUM($S$3:S15)</f>
        <v>5619.6758858778621</v>
      </c>
      <c r="U15" s="27">
        <f t="shared" si="12"/>
        <v>100</v>
      </c>
      <c r="V15" s="24">
        <f>SUM($U$3:U15)</f>
        <v>840.24699999999996</v>
      </c>
      <c r="W15" s="27">
        <f t="shared" si="13"/>
        <v>55</v>
      </c>
      <c r="X15" s="24">
        <f>SUM($W$3:W15)</f>
        <v>462.13584999999995</v>
      </c>
    </row>
    <row r="16" spans="1:29" x14ac:dyDescent="0.25">
      <c r="T16" s="3"/>
      <c r="U16" s="3"/>
      <c r="V16" s="3"/>
    </row>
    <row r="17" spans="1:24" s="3" customFormat="1" x14ac:dyDescent="0.25">
      <c r="S17" s="22"/>
    </row>
    <row r="18" spans="1:24" s="3" customFormat="1" x14ac:dyDescent="0.25">
      <c r="A18" s="3" t="s">
        <v>34</v>
      </c>
      <c r="B18" s="3" t="s">
        <v>44</v>
      </c>
      <c r="S18" s="22"/>
    </row>
    <row r="19" spans="1:24" s="20" customFormat="1" ht="51.75" x14ac:dyDescent="0.25">
      <c r="A19" s="19" t="s">
        <v>45</v>
      </c>
      <c r="B19" s="19" t="s">
        <v>0</v>
      </c>
      <c r="C19" s="19" t="s">
        <v>20</v>
      </c>
      <c r="D19" s="19" t="s">
        <v>1</v>
      </c>
      <c r="E19" s="19" t="s">
        <v>22</v>
      </c>
      <c r="F19" s="19" t="s">
        <v>2</v>
      </c>
      <c r="G19" s="19" t="s">
        <v>21</v>
      </c>
      <c r="H19" s="19" t="s">
        <v>30</v>
      </c>
      <c r="I19" s="19" t="s">
        <v>31</v>
      </c>
      <c r="J19" s="19" t="s">
        <v>33</v>
      </c>
      <c r="K19" s="19" t="s">
        <v>28</v>
      </c>
      <c r="L19" s="19" t="s">
        <v>32</v>
      </c>
      <c r="M19" s="19" t="s">
        <v>27</v>
      </c>
      <c r="N19" s="19" t="s">
        <v>25</v>
      </c>
      <c r="O19" s="19" t="s">
        <v>26</v>
      </c>
      <c r="P19" s="19" t="s">
        <v>23</v>
      </c>
      <c r="Q19" s="19" t="s">
        <v>24</v>
      </c>
      <c r="R19" s="19" t="s">
        <v>42</v>
      </c>
      <c r="S19" s="23" t="s">
        <v>36</v>
      </c>
      <c r="T19" s="19" t="s">
        <v>37</v>
      </c>
      <c r="U19" s="23" t="s">
        <v>38</v>
      </c>
      <c r="V19" s="19" t="s">
        <v>39</v>
      </c>
      <c r="W19" s="23" t="s">
        <v>40</v>
      </c>
      <c r="X19" s="19" t="s">
        <v>41</v>
      </c>
    </row>
    <row r="20" spans="1:24" s="3" customFormat="1" x14ac:dyDescent="0.25">
      <c r="A20" s="13" t="s">
        <v>47</v>
      </c>
      <c r="B20" s="17">
        <v>9000</v>
      </c>
      <c r="C20" s="16">
        <f>B20</f>
        <v>9000</v>
      </c>
      <c r="D20" s="18">
        <v>198</v>
      </c>
      <c r="E20" s="15">
        <f>SUM($D$20:D20)</f>
        <v>198</v>
      </c>
      <c r="F20" s="14">
        <v>20</v>
      </c>
      <c r="G20" s="15">
        <f>SUM($F$20:F20)</f>
        <v>20</v>
      </c>
      <c r="H20" s="14">
        <f t="shared" ref="H20:H32" si="21">G20*Max_uren_per_sv_dag</f>
        <v>152</v>
      </c>
      <c r="I20" s="25">
        <f>MIN(H20,E20)</f>
        <v>152</v>
      </c>
      <c r="J20" s="15">
        <f>I20*Parameters!$B$13</f>
        <v>4368.8549618320612</v>
      </c>
      <c r="K20" s="26">
        <f t="shared" ref="K20:K32" si="22">MIN(J20,C20)</f>
        <v>4368.8549618320612</v>
      </c>
      <c r="L20" s="16">
        <f>I20*Max_pensioengev_salaris_per_uur_OP_NP</f>
        <v>8405.4198473282449</v>
      </c>
      <c r="M20" s="26">
        <f t="shared" ref="M20:M32" si="23">MIN(L20,C20)</f>
        <v>8405.4198473282449</v>
      </c>
      <c r="N20" s="16">
        <f t="shared" ref="N20:N32" si="24">I20*Max_pensioengev_salaris_per_uur_VPL</f>
        <v>4368.8549618320612</v>
      </c>
      <c r="O20" s="26">
        <f t="shared" ref="O20:O32" si="25">MIN(N20,C20)</f>
        <v>4368.8549618320612</v>
      </c>
      <c r="P20" s="16">
        <f t="shared" ref="P20:P32" si="26">I20*Franchise_OP_NP_per_uur</f>
        <v>1081.4503816793895</v>
      </c>
      <c r="Q20" s="16">
        <f>IF(M20-P20&lt;0,0,M20-P20)</f>
        <v>7323.9694656488555</v>
      </c>
      <c r="R20" s="17">
        <f>Q20</f>
        <v>7323.9694656488555</v>
      </c>
      <c r="S20" s="17">
        <f>Q20*Premie___OP_NP</f>
        <v>1486.7658015267177</v>
      </c>
      <c r="T20" s="24">
        <f>SUM($S$20:S20)</f>
        <v>1486.7658015267177</v>
      </c>
      <c r="U20" s="27">
        <f>O20*Premie___VPL</f>
        <v>87.377099236641229</v>
      </c>
      <c r="V20" s="24">
        <f>SUM($U$20:U20)</f>
        <v>87.377099236641229</v>
      </c>
      <c r="W20" s="27">
        <f>K20*Premie__VOS</f>
        <v>48.057404580152671</v>
      </c>
      <c r="X20" s="24">
        <f>SUM($W$20:W20)</f>
        <v>48.057404580152671</v>
      </c>
    </row>
    <row r="21" spans="1:24" s="3" customFormat="1" x14ac:dyDescent="0.25">
      <c r="A21" s="13" t="s">
        <v>46</v>
      </c>
      <c r="B21" s="17">
        <v>9000</v>
      </c>
      <c r="C21" s="16">
        <f t="shared" ref="C21:C30" si="27">C20+B21</f>
        <v>18000</v>
      </c>
      <c r="D21" s="18">
        <v>140</v>
      </c>
      <c r="E21" s="15">
        <f>SUM($D$20:D21)</f>
        <v>338</v>
      </c>
      <c r="F21" s="14">
        <v>20</v>
      </c>
      <c r="G21" s="15">
        <f>SUM($F$20:F21)</f>
        <v>40</v>
      </c>
      <c r="H21" s="14">
        <f t="shared" si="21"/>
        <v>304</v>
      </c>
      <c r="I21" s="25">
        <f t="shared" ref="I21:I32" si="28">MIN(H21,E21)</f>
        <v>304</v>
      </c>
      <c r="J21" s="15">
        <f>I21*Parameters!$B$13</f>
        <v>8737.7099236641225</v>
      </c>
      <c r="K21" s="26">
        <f t="shared" si="22"/>
        <v>8737.7099236641225</v>
      </c>
      <c r="L21" s="16">
        <f t="shared" ref="L21:L32" si="29">I21*Max_pensioengev_salaris_per_uur_OP_NP</f>
        <v>16810.83969465649</v>
      </c>
      <c r="M21" s="26">
        <f t="shared" si="23"/>
        <v>16810.83969465649</v>
      </c>
      <c r="N21" s="16">
        <f t="shared" si="24"/>
        <v>8737.7099236641225</v>
      </c>
      <c r="O21" s="26">
        <f t="shared" si="25"/>
        <v>8737.7099236641225</v>
      </c>
      <c r="P21" s="16">
        <f t="shared" si="26"/>
        <v>2162.9007633587789</v>
      </c>
      <c r="Q21" s="16">
        <f t="shared" ref="Q21:Q32" si="30">IF(M21-P21&lt;0,0,M21-P21)</f>
        <v>14647.938931297711</v>
      </c>
      <c r="R21" s="17">
        <f>Q21-Q20</f>
        <v>7323.9694656488555</v>
      </c>
      <c r="S21" s="17">
        <f t="shared" ref="S21:S32" si="31">(Q21-Q20)*Premie___OP_NP</f>
        <v>1486.7658015267177</v>
      </c>
      <c r="T21" s="24">
        <f>SUM($S$20:S21)</f>
        <v>2973.5316030534354</v>
      </c>
      <c r="U21" s="27">
        <f t="shared" ref="U21:U32" si="32">(O21-O20)*Premie___VPL</f>
        <v>87.377099236641229</v>
      </c>
      <c r="V21" s="24">
        <f>SUM($U$20:U21)</f>
        <v>174.75419847328246</v>
      </c>
      <c r="W21" s="27">
        <f t="shared" ref="W21:W32" si="33">(K21-K20)*Premie__VOS</f>
        <v>48.057404580152671</v>
      </c>
      <c r="X21" s="24">
        <f>SUM($W$20:W21)</f>
        <v>96.114809160305342</v>
      </c>
    </row>
    <row r="22" spans="1:24" s="3" customFormat="1" x14ac:dyDescent="0.25">
      <c r="A22" s="13" t="s">
        <v>48</v>
      </c>
      <c r="B22" s="17">
        <v>9000</v>
      </c>
      <c r="C22" s="16">
        <f t="shared" si="27"/>
        <v>27000</v>
      </c>
      <c r="D22" s="18">
        <v>155</v>
      </c>
      <c r="E22" s="15">
        <f>SUM($D$20:D22)</f>
        <v>493</v>
      </c>
      <c r="F22" s="14">
        <v>20</v>
      </c>
      <c r="G22" s="15">
        <f>SUM($F$20:F22)</f>
        <v>60</v>
      </c>
      <c r="H22" s="14">
        <f t="shared" si="21"/>
        <v>456</v>
      </c>
      <c r="I22" s="25">
        <f t="shared" si="28"/>
        <v>456</v>
      </c>
      <c r="J22" s="15">
        <f>I22*Parameters!$B$13</f>
        <v>13106.564885496184</v>
      </c>
      <c r="K22" s="26">
        <f t="shared" si="22"/>
        <v>13106.564885496184</v>
      </c>
      <c r="L22" s="16">
        <f t="shared" si="29"/>
        <v>25216.259541984735</v>
      </c>
      <c r="M22" s="26">
        <f t="shared" si="23"/>
        <v>25216.259541984735</v>
      </c>
      <c r="N22" s="16">
        <f t="shared" si="24"/>
        <v>13106.564885496184</v>
      </c>
      <c r="O22" s="26">
        <f t="shared" si="25"/>
        <v>13106.564885496184</v>
      </c>
      <c r="P22" s="16">
        <f t="shared" si="26"/>
        <v>3244.3511450381684</v>
      </c>
      <c r="Q22" s="16">
        <f t="shared" si="30"/>
        <v>21971.908396946565</v>
      </c>
      <c r="R22" s="17">
        <f t="shared" ref="R22:R29" si="34">Q22-Q21</f>
        <v>7323.9694656488537</v>
      </c>
      <c r="S22" s="17">
        <f t="shared" si="31"/>
        <v>1486.7658015267175</v>
      </c>
      <c r="T22" s="24">
        <f>SUM($S$20:S22)</f>
        <v>4460.2974045801529</v>
      </c>
      <c r="U22" s="27">
        <f t="shared" si="32"/>
        <v>87.377099236641229</v>
      </c>
      <c r="V22" s="24">
        <f>SUM($U$20:U22)</f>
        <v>262.13129770992367</v>
      </c>
      <c r="W22" s="27">
        <f t="shared" si="33"/>
        <v>48.057404580152671</v>
      </c>
      <c r="X22" s="24">
        <f>SUM($W$20:W22)</f>
        <v>144.17221374045801</v>
      </c>
    </row>
    <row r="23" spans="1:24" s="3" customFormat="1" x14ac:dyDescent="0.25">
      <c r="A23" s="13" t="s">
        <v>49</v>
      </c>
      <c r="B23" s="17">
        <v>9000</v>
      </c>
      <c r="C23" s="16">
        <f t="shared" si="27"/>
        <v>36000</v>
      </c>
      <c r="D23" s="18">
        <v>220</v>
      </c>
      <c r="E23" s="15">
        <f>SUM($D$20:D23)</f>
        <v>713</v>
      </c>
      <c r="F23" s="14">
        <v>20</v>
      </c>
      <c r="G23" s="15">
        <f>SUM($F$20:F23)</f>
        <v>80</v>
      </c>
      <c r="H23" s="14">
        <f t="shared" si="21"/>
        <v>608</v>
      </c>
      <c r="I23" s="25">
        <f t="shared" si="28"/>
        <v>608</v>
      </c>
      <c r="J23" s="15">
        <f>I23*Parameters!$B$13</f>
        <v>17475.419847328245</v>
      </c>
      <c r="K23" s="26">
        <f t="shared" si="22"/>
        <v>17475.419847328245</v>
      </c>
      <c r="L23" s="16">
        <f t="shared" si="29"/>
        <v>33621.67938931298</v>
      </c>
      <c r="M23" s="26">
        <f t="shared" si="23"/>
        <v>33621.67938931298</v>
      </c>
      <c r="N23" s="16">
        <f t="shared" si="24"/>
        <v>17475.419847328245</v>
      </c>
      <c r="O23" s="26">
        <f t="shared" si="25"/>
        <v>17475.419847328245</v>
      </c>
      <c r="P23" s="16">
        <f t="shared" si="26"/>
        <v>4325.8015267175579</v>
      </c>
      <c r="Q23" s="16">
        <f t="shared" si="30"/>
        <v>29295.877862595422</v>
      </c>
      <c r="R23" s="17">
        <f t="shared" si="34"/>
        <v>7323.9694656488573</v>
      </c>
      <c r="S23" s="17">
        <f t="shared" si="31"/>
        <v>1486.7658015267182</v>
      </c>
      <c r="T23" s="24">
        <f>SUM($S$20:S23)</f>
        <v>5947.0632061068709</v>
      </c>
      <c r="U23" s="27">
        <f t="shared" si="32"/>
        <v>87.377099236641229</v>
      </c>
      <c r="V23" s="24">
        <f>SUM($U$20:U23)</f>
        <v>349.50839694656491</v>
      </c>
      <c r="W23" s="27">
        <f t="shared" si="33"/>
        <v>48.057404580152671</v>
      </c>
      <c r="X23" s="24">
        <f>SUM($W$20:W23)</f>
        <v>192.22961832061068</v>
      </c>
    </row>
    <row r="24" spans="1:24" s="3" customFormat="1" x14ac:dyDescent="0.25">
      <c r="A24" s="13" t="s">
        <v>50</v>
      </c>
      <c r="B24" s="17">
        <v>18000</v>
      </c>
      <c r="C24" s="16">
        <f t="shared" si="27"/>
        <v>54000</v>
      </c>
      <c r="D24" s="18">
        <v>80</v>
      </c>
      <c r="E24" s="15">
        <f>SUM($D$20:D24)</f>
        <v>793</v>
      </c>
      <c r="F24" s="14">
        <v>20</v>
      </c>
      <c r="G24" s="15">
        <f>SUM($F$20:F24)</f>
        <v>100</v>
      </c>
      <c r="H24" s="14">
        <f t="shared" si="21"/>
        <v>760</v>
      </c>
      <c r="I24" s="25">
        <f t="shared" si="28"/>
        <v>760</v>
      </c>
      <c r="J24" s="15">
        <f>I24*Parameters!$B$13</f>
        <v>21844.274809160306</v>
      </c>
      <c r="K24" s="26">
        <f t="shared" si="22"/>
        <v>21844.274809160306</v>
      </c>
      <c r="L24" s="16">
        <f t="shared" si="29"/>
        <v>42027.099236641225</v>
      </c>
      <c r="M24" s="26">
        <f t="shared" si="23"/>
        <v>42027.099236641225</v>
      </c>
      <c r="N24" s="16">
        <f t="shared" si="24"/>
        <v>21844.274809160306</v>
      </c>
      <c r="O24" s="26">
        <f t="shared" si="25"/>
        <v>21844.274809160306</v>
      </c>
      <c r="P24" s="16">
        <f t="shared" si="26"/>
        <v>5407.2519083969473</v>
      </c>
      <c r="Q24" s="16">
        <f t="shared" si="30"/>
        <v>36619.847328244279</v>
      </c>
      <c r="R24" s="17">
        <f t="shared" si="34"/>
        <v>7323.9694656488573</v>
      </c>
      <c r="S24" s="17">
        <f t="shared" si="31"/>
        <v>1486.7658015267182</v>
      </c>
      <c r="T24" s="24">
        <f>SUM($S$20:S24)</f>
        <v>7433.8290076335888</v>
      </c>
      <c r="U24" s="27">
        <f t="shared" si="32"/>
        <v>87.377099236641229</v>
      </c>
      <c r="V24" s="24">
        <f>SUM($U$20:U24)</f>
        <v>436.88549618320616</v>
      </c>
      <c r="W24" s="27">
        <f t="shared" si="33"/>
        <v>48.057404580152671</v>
      </c>
      <c r="X24" s="24">
        <f>SUM($W$20:W24)</f>
        <v>240.28702290076336</v>
      </c>
    </row>
    <row r="25" spans="1:24" s="3" customFormat="1" x14ac:dyDescent="0.25">
      <c r="A25" s="13" t="s">
        <v>51</v>
      </c>
      <c r="B25" s="17">
        <v>9000</v>
      </c>
      <c r="C25" s="16">
        <f t="shared" si="27"/>
        <v>63000</v>
      </c>
      <c r="D25" s="18">
        <v>161</v>
      </c>
      <c r="E25" s="15">
        <f>SUM($D$20:D25)</f>
        <v>954</v>
      </c>
      <c r="F25" s="14">
        <v>20</v>
      </c>
      <c r="G25" s="15">
        <f>SUM($F$20:F25)</f>
        <v>120</v>
      </c>
      <c r="H25" s="14">
        <f t="shared" si="21"/>
        <v>912</v>
      </c>
      <c r="I25" s="25">
        <f t="shared" si="28"/>
        <v>912</v>
      </c>
      <c r="J25" s="15">
        <f>I25*Parameters!$B$13</f>
        <v>26213.129770992367</v>
      </c>
      <c r="K25" s="26">
        <f t="shared" si="22"/>
        <v>26213.129770992367</v>
      </c>
      <c r="L25" s="16">
        <f t="shared" si="29"/>
        <v>50432.51908396947</v>
      </c>
      <c r="M25" s="26">
        <f t="shared" si="23"/>
        <v>50432.51908396947</v>
      </c>
      <c r="N25" s="16">
        <f t="shared" si="24"/>
        <v>26213.129770992367</v>
      </c>
      <c r="O25" s="26">
        <f t="shared" si="25"/>
        <v>26213.129770992367</v>
      </c>
      <c r="P25" s="16">
        <f t="shared" si="26"/>
        <v>6488.7022900763368</v>
      </c>
      <c r="Q25" s="16">
        <f t="shared" si="30"/>
        <v>43943.816793893129</v>
      </c>
      <c r="R25" s="17">
        <f t="shared" si="34"/>
        <v>7323.96946564885</v>
      </c>
      <c r="S25" s="17">
        <f t="shared" si="31"/>
        <v>1486.7658015267166</v>
      </c>
      <c r="T25" s="24">
        <f>SUM($S$20:S25)</f>
        <v>8920.5948091603059</v>
      </c>
      <c r="U25" s="27">
        <f t="shared" si="32"/>
        <v>87.377099236641229</v>
      </c>
      <c r="V25" s="24">
        <f>SUM($U$20:U25)</f>
        <v>524.26259541984734</v>
      </c>
      <c r="W25" s="27">
        <f t="shared" si="33"/>
        <v>48.057404580152671</v>
      </c>
      <c r="X25" s="24">
        <f>SUM($W$20:W25)</f>
        <v>288.34442748091601</v>
      </c>
    </row>
    <row r="26" spans="1:24" s="3" customFormat="1" x14ac:dyDescent="0.25">
      <c r="A26" s="13" t="s">
        <v>52</v>
      </c>
      <c r="B26" s="17">
        <v>9000</v>
      </c>
      <c r="C26" s="16">
        <f t="shared" si="27"/>
        <v>72000</v>
      </c>
      <c r="D26" s="18">
        <v>152</v>
      </c>
      <c r="E26" s="15">
        <f>SUM($D$20:D26)</f>
        <v>1106</v>
      </c>
      <c r="F26" s="14">
        <v>20</v>
      </c>
      <c r="G26" s="15">
        <f>SUM($F$20:F26)</f>
        <v>140</v>
      </c>
      <c r="H26" s="14">
        <f t="shared" si="21"/>
        <v>1064</v>
      </c>
      <c r="I26" s="25">
        <f t="shared" si="28"/>
        <v>1064</v>
      </c>
      <c r="J26" s="15">
        <f>I26*Parameters!$B$13</f>
        <v>30581.984732824429</v>
      </c>
      <c r="K26" s="26">
        <f t="shared" si="22"/>
        <v>30581.984732824429</v>
      </c>
      <c r="L26" s="16">
        <f t="shared" si="29"/>
        <v>58837.938931297715</v>
      </c>
      <c r="M26" s="26">
        <f t="shared" si="23"/>
        <v>58837.938931297715</v>
      </c>
      <c r="N26" s="16">
        <f t="shared" si="24"/>
        <v>30581.984732824429</v>
      </c>
      <c r="O26" s="26">
        <f t="shared" si="25"/>
        <v>30581.984732824429</v>
      </c>
      <c r="P26" s="16">
        <f t="shared" si="26"/>
        <v>7570.1526717557254</v>
      </c>
      <c r="Q26" s="16">
        <f t="shared" si="30"/>
        <v>51267.786259541987</v>
      </c>
      <c r="R26" s="17">
        <f t="shared" si="34"/>
        <v>7323.9694656488573</v>
      </c>
      <c r="S26" s="17">
        <f t="shared" si="31"/>
        <v>1486.7658015267182</v>
      </c>
      <c r="T26" s="24">
        <f>SUM($S$20:S26)</f>
        <v>10407.360610687025</v>
      </c>
      <c r="U26" s="27">
        <f t="shared" si="32"/>
        <v>87.377099236641229</v>
      </c>
      <c r="V26" s="24">
        <f>SUM($U$20:U26)</f>
        <v>611.63969465648859</v>
      </c>
      <c r="W26" s="27">
        <f t="shared" si="33"/>
        <v>48.057404580152671</v>
      </c>
      <c r="X26" s="24">
        <f>SUM($W$20:W26)</f>
        <v>336.40183206106866</v>
      </c>
    </row>
    <row r="27" spans="1:24" s="3" customFormat="1" x14ac:dyDescent="0.25">
      <c r="A27" s="13" t="s">
        <v>53</v>
      </c>
      <c r="B27" s="17">
        <v>9000</v>
      </c>
      <c r="C27" s="16">
        <f t="shared" si="27"/>
        <v>81000</v>
      </c>
      <c r="D27" s="18">
        <v>152</v>
      </c>
      <c r="E27" s="15">
        <f>SUM($D$20:D27)</f>
        <v>1258</v>
      </c>
      <c r="F27" s="14">
        <v>20</v>
      </c>
      <c r="G27" s="15">
        <f>SUM($F$20:F27)</f>
        <v>160</v>
      </c>
      <c r="H27" s="14">
        <f t="shared" si="21"/>
        <v>1216</v>
      </c>
      <c r="I27" s="25">
        <f t="shared" si="28"/>
        <v>1216</v>
      </c>
      <c r="J27" s="15">
        <f>I27*Parameters!$B$13</f>
        <v>34950.83969465649</v>
      </c>
      <c r="K27" s="26">
        <f t="shared" si="22"/>
        <v>34950.83969465649</v>
      </c>
      <c r="L27" s="16">
        <f t="shared" si="29"/>
        <v>67243.35877862596</v>
      </c>
      <c r="M27" s="26">
        <f t="shared" si="23"/>
        <v>67243.35877862596</v>
      </c>
      <c r="N27" s="16">
        <f t="shared" si="24"/>
        <v>34950.83969465649</v>
      </c>
      <c r="O27" s="26">
        <f t="shared" si="25"/>
        <v>34950.83969465649</v>
      </c>
      <c r="P27" s="16">
        <f t="shared" si="26"/>
        <v>8651.6030534351157</v>
      </c>
      <c r="Q27" s="16">
        <f t="shared" si="30"/>
        <v>58591.755725190844</v>
      </c>
      <c r="R27" s="17">
        <f t="shared" si="34"/>
        <v>7323.9694656488573</v>
      </c>
      <c r="S27" s="17">
        <f t="shared" si="31"/>
        <v>1486.7658015267182</v>
      </c>
      <c r="T27" s="24">
        <f>SUM($S$20:S27)</f>
        <v>11894.126412213744</v>
      </c>
      <c r="U27" s="27">
        <f t="shared" si="32"/>
        <v>87.377099236641229</v>
      </c>
      <c r="V27" s="24">
        <f>SUM($U$20:U27)</f>
        <v>699.01679389312983</v>
      </c>
      <c r="W27" s="27">
        <f t="shared" si="33"/>
        <v>48.057404580152671</v>
      </c>
      <c r="X27" s="24">
        <f>SUM($W$20:W27)</f>
        <v>384.45923664122131</v>
      </c>
    </row>
    <row r="28" spans="1:24" s="3" customFormat="1" x14ac:dyDescent="0.25">
      <c r="A28" s="13" t="s">
        <v>54</v>
      </c>
      <c r="B28" s="17">
        <v>9000</v>
      </c>
      <c r="C28" s="16">
        <f t="shared" si="27"/>
        <v>90000</v>
      </c>
      <c r="D28" s="18">
        <v>152</v>
      </c>
      <c r="E28" s="15">
        <f>SUM($D$20:D28)</f>
        <v>1410</v>
      </c>
      <c r="F28" s="14">
        <v>20</v>
      </c>
      <c r="G28" s="15">
        <f>SUM($F$20:F28)</f>
        <v>180</v>
      </c>
      <c r="H28" s="14">
        <f t="shared" si="21"/>
        <v>1368</v>
      </c>
      <c r="I28" s="25">
        <f t="shared" si="28"/>
        <v>1368</v>
      </c>
      <c r="J28" s="15">
        <f>I28*Parameters!$B$13</f>
        <v>39319.694656488551</v>
      </c>
      <c r="K28" s="26">
        <f t="shared" si="22"/>
        <v>39319.694656488551</v>
      </c>
      <c r="L28" s="16">
        <f t="shared" si="29"/>
        <v>75648.778625954204</v>
      </c>
      <c r="M28" s="26">
        <f t="shared" si="23"/>
        <v>75648.778625954204</v>
      </c>
      <c r="N28" s="16">
        <f t="shared" si="24"/>
        <v>39319.694656488551</v>
      </c>
      <c r="O28" s="26">
        <f t="shared" si="25"/>
        <v>39319.694656488551</v>
      </c>
      <c r="P28" s="16">
        <f t="shared" si="26"/>
        <v>9733.0534351145052</v>
      </c>
      <c r="Q28" s="16">
        <f t="shared" si="30"/>
        <v>65915.725190839701</v>
      </c>
      <c r="R28" s="17">
        <f t="shared" si="34"/>
        <v>7323.9694656488573</v>
      </c>
      <c r="S28" s="17">
        <f t="shared" si="31"/>
        <v>1486.7658015267182</v>
      </c>
      <c r="T28" s="24">
        <f>SUM($S$20:S28)</f>
        <v>13380.892213740462</v>
      </c>
      <c r="U28" s="27">
        <f t="shared" si="32"/>
        <v>87.377099236641229</v>
      </c>
      <c r="V28" s="24">
        <f>SUM($U$20:U28)</f>
        <v>786.39389312977107</v>
      </c>
      <c r="W28" s="27">
        <f t="shared" si="33"/>
        <v>48.057404580152671</v>
      </c>
      <c r="X28" s="24">
        <f>SUM($W$20:W28)</f>
        <v>432.51664122137396</v>
      </c>
    </row>
    <row r="29" spans="1:24" s="3" customFormat="1" x14ac:dyDescent="0.25">
      <c r="A29" s="13" t="s">
        <v>55</v>
      </c>
      <c r="B29" s="17">
        <v>9000</v>
      </c>
      <c r="C29" s="16">
        <f t="shared" si="27"/>
        <v>99000</v>
      </c>
      <c r="D29" s="18">
        <v>198</v>
      </c>
      <c r="E29" s="15">
        <f>SUM($D$20:D29)</f>
        <v>1608</v>
      </c>
      <c r="F29" s="14">
        <v>20</v>
      </c>
      <c r="G29" s="15">
        <f>SUM($F$20:F29)</f>
        <v>200</v>
      </c>
      <c r="H29" s="14">
        <f t="shared" si="21"/>
        <v>1520</v>
      </c>
      <c r="I29" s="25">
        <f t="shared" si="28"/>
        <v>1520</v>
      </c>
      <c r="J29" s="15">
        <f>I29*Parameters!$B$13</f>
        <v>43688.549618320612</v>
      </c>
      <c r="K29" s="26">
        <f t="shared" si="22"/>
        <v>43688.549618320612</v>
      </c>
      <c r="L29" s="16">
        <f t="shared" si="29"/>
        <v>84054.198473282449</v>
      </c>
      <c r="M29" s="26">
        <f t="shared" si="23"/>
        <v>84054.198473282449</v>
      </c>
      <c r="N29" s="16">
        <f t="shared" si="24"/>
        <v>43688.549618320612</v>
      </c>
      <c r="O29" s="26">
        <f t="shared" si="25"/>
        <v>43688.549618320612</v>
      </c>
      <c r="P29" s="16">
        <f t="shared" si="26"/>
        <v>10814.503816793895</v>
      </c>
      <c r="Q29" s="16">
        <f t="shared" si="30"/>
        <v>73239.694656488558</v>
      </c>
      <c r="R29" s="17">
        <f t="shared" si="34"/>
        <v>7323.9694656488573</v>
      </c>
      <c r="S29" s="17">
        <f t="shared" si="31"/>
        <v>1486.7658015267182</v>
      </c>
      <c r="T29" s="24">
        <f>SUM($S$20:S29)</f>
        <v>14867.658015267181</v>
      </c>
      <c r="U29" s="27">
        <f t="shared" si="32"/>
        <v>87.377099236641229</v>
      </c>
      <c r="V29" s="24">
        <f>SUM($U$20:U29)</f>
        <v>873.77099236641232</v>
      </c>
      <c r="W29" s="27">
        <f t="shared" si="33"/>
        <v>48.057404580152671</v>
      </c>
      <c r="X29" s="24">
        <f>SUM($W$20:W29)</f>
        <v>480.57404580152661</v>
      </c>
    </row>
    <row r="30" spans="1:24" ht="14.25" customHeight="1" x14ac:dyDescent="0.25">
      <c r="A30" s="13" t="s">
        <v>56</v>
      </c>
      <c r="B30" s="17">
        <v>9000</v>
      </c>
      <c r="C30" s="16">
        <f t="shared" si="27"/>
        <v>108000</v>
      </c>
      <c r="D30" s="18">
        <v>198</v>
      </c>
      <c r="E30" s="15">
        <f>SUM($D$20:D30)</f>
        <v>1806</v>
      </c>
      <c r="F30" s="14">
        <v>20</v>
      </c>
      <c r="G30" s="15">
        <f>SUM($F$20:F30)</f>
        <v>220</v>
      </c>
      <c r="H30" s="14">
        <f t="shared" si="21"/>
        <v>1672</v>
      </c>
      <c r="I30" s="25">
        <f t="shared" si="28"/>
        <v>1672</v>
      </c>
      <c r="J30" s="15">
        <f>I30*Parameters!$B$13</f>
        <v>48057.404580152674</v>
      </c>
      <c r="K30" s="26">
        <f t="shared" si="22"/>
        <v>48057.404580152674</v>
      </c>
      <c r="L30" s="16">
        <f t="shared" si="29"/>
        <v>92459.618320610694</v>
      </c>
      <c r="M30" s="26">
        <f t="shared" si="23"/>
        <v>92459.618320610694</v>
      </c>
      <c r="N30" s="16">
        <f t="shared" si="24"/>
        <v>48057.404580152674</v>
      </c>
      <c r="O30" s="26">
        <f t="shared" si="25"/>
        <v>48057.404580152674</v>
      </c>
      <c r="P30" s="16">
        <f t="shared" si="26"/>
        <v>11895.954198473284</v>
      </c>
      <c r="Q30" s="16">
        <f t="shared" si="30"/>
        <v>80563.664122137416</v>
      </c>
      <c r="R30" s="17">
        <f>Q30-Q29</f>
        <v>7323.9694656488573</v>
      </c>
      <c r="S30" s="17">
        <f t="shared" si="31"/>
        <v>1486.7658015267182</v>
      </c>
      <c r="T30" s="24">
        <f>SUM($S$20:S30)</f>
        <v>16354.4238167939</v>
      </c>
      <c r="U30" s="27">
        <f t="shared" si="32"/>
        <v>87.377099236641229</v>
      </c>
      <c r="V30" s="24">
        <f>SUM($U$20:U30)</f>
        <v>961.14809160305356</v>
      </c>
      <c r="W30" s="27">
        <f t="shared" si="33"/>
        <v>48.057404580152671</v>
      </c>
      <c r="X30" s="24">
        <f>SUM($W$20:W30)</f>
        <v>528.63145038167931</v>
      </c>
    </row>
    <row r="31" spans="1:24" s="3" customFormat="1" x14ac:dyDescent="0.25">
      <c r="A31" s="13" t="s">
        <v>57</v>
      </c>
      <c r="B31" s="17">
        <v>9000</v>
      </c>
      <c r="C31" s="16">
        <f>C29+B31</f>
        <v>108000</v>
      </c>
      <c r="D31" s="18">
        <v>198</v>
      </c>
      <c r="E31" s="15">
        <f>SUM($D$20:D31)</f>
        <v>2004</v>
      </c>
      <c r="F31" s="14">
        <v>20</v>
      </c>
      <c r="G31" s="15">
        <f>SUM($F$20:F31)</f>
        <v>240</v>
      </c>
      <c r="H31" s="14">
        <f t="shared" si="21"/>
        <v>1824</v>
      </c>
      <c r="I31" s="25">
        <f t="shared" ref="I31" si="35">MIN(H31,E31)</f>
        <v>1824</v>
      </c>
      <c r="J31" s="15">
        <f>I31*Parameters!$B$13</f>
        <v>52426.259541984735</v>
      </c>
      <c r="K31" s="26">
        <f t="shared" ref="K31" si="36">MIN(J31,C31)</f>
        <v>52426.259541984735</v>
      </c>
      <c r="L31" s="16">
        <f t="shared" ref="L31" si="37">I31*Max_pensioengev_salaris_per_uur_OP_NP</f>
        <v>100865.03816793894</v>
      </c>
      <c r="M31" s="26">
        <f t="shared" ref="M31" si="38">MIN(L31,C31)</f>
        <v>100865.03816793894</v>
      </c>
      <c r="N31" s="16">
        <f t="shared" ref="N31" si="39">I31*Max_pensioengev_salaris_per_uur_VPL</f>
        <v>52426.259541984735</v>
      </c>
      <c r="O31" s="26">
        <f t="shared" ref="O31" si="40">MIN(N31,C31)</f>
        <v>52426.259541984735</v>
      </c>
      <c r="P31" s="16">
        <f t="shared" ref="P31" si="41">I31*Franchise_OP_NP_per_uur</f>
        <v>12977.404580152674</v>
      </c>
      <c r="Q31" s="16">
        <f t="shared" ref="Q31" si="42">IF(M31-P31&lt;0,0,M31-P31)</f>
        <v>87887.633587786258</v>
      </c>
      <c r="R31" s="17">
        <f>Q31-Q30</f>
        <v>7323.9694656488427</v>
      </c>
      <c r="S31" s="17">
        <f t="shared" si="31"/>
        <v>1486.7658015267152</v>
      </c>
      <c r="T31" s="24">
        <f>SUM($S$20:S31)</f>
        <v>17841.189618320615</v>
      </c>
      <c r="U31" s="27">
        <f t="shared" si="32"/>
        <v>87.377099236641229</v>
      </c>
      <c r="V31" s="24">
        <f>SUM($U$20:U31)</f>
        <v>1048.5251908396947</v>
      </c>
      <c r="W31" s="27">
        <f t="shared" si="33"/>
        <v>48.057404580152671</v>
      </c>
      <c r="X31" s="24">
        <f>SUM($W$20:W31)</f>
        <v>576.68885496183202</v>
      </c>
    </row>
    <row r="32" spans="1:24" x14ac:dyDescent="0.25">
      <c r="A32" s="13" t="s">
        <v>58</v>
      </c>
      <c r="B32" s="17">
        <v>9000</v>
      </c>
      <c r="C32" s="16">
        <f>C30+B32</f>
        <v>117000</v>
      </c>
      <c r="D32" s="18">
        <v>198</v>
      </c>
      <c r="E32" s="15">
        <f>SUM($D$20:D32)</f>
        <v>2202</v>
      </c>
      <c r="F32" s="14">
        <v>25</v>
      </c>
      <c r="G32" s="15">
        <f>SUM($F$20:F32)</f>
        <v>265</v>
      </c>
      <c r="H32" s="14">
        <f t="shared" si="21"/>
        <v>2014</v>
      </c>
      <c r="I32" s="25">
        <f t="shared" si="28"/>
        <v>2014</v>
      </c>
      <c r="J32" s="15">
        <f>I32*Parameters!$B$13</f>
        <v>57887.32824427481</v>
      </c>
      <c r="K32" s="26">
        <f t="shared" si="22"/>
        <v>57887.32824427481</v>
      </c>
      <c r="L32" s="16">
        <f t="shared" si="29"/>
        <v>111371.81297709924</v>
      </c>
      <c r="M32" s="26">
        <f t="shared" si="23"/>
        <v>111371.81297709924</v>
      </c>
      <c r="N32" s="16">
        <f t="shared" si="24"/>
        <v>57887.32824427481</v>
      </c>
      <c r="O32" s="26">
        <f t="shared" si="25"/>
        <v>57887.32824427481</v>
      </c>
      <c r="P32" s="16">
        <f t="shared" si="26"/>
        <v>14329.21755725191</v>
      </c>
      <c r="Q32" s="16">
        <f t="shared" si="30"/>
        <v>97042.595419847334</v>
      </c>
      <c r="R32" s="17">
        <f>Q32-Q31</f>
        <v>9154.9618320610753</v>
      </c>
      <c r="S32" s="17">
        <f t="shared" si="31"/>
        <v>1858.4572519083983</v>
      </c>
      <c r="T32" s="24">
        <f>SUM($S$20:S32)</f>
        <v>19699.646870229015</v>
      </c>
      <c r="U32" s="27">
        <f t="shared" si="32"/>
        <v>109.2213740458015</v>
      </c>
      <c r="V32" s="24">
        <f>SUM($U$20:U32)</f>
        <v>1157.7465648854961</v>
      </c>
      <c r="W32" s="27">
        <f t="shared" si="33"/>
        <v>60.071755725190819</v>
      </c>
      <c r="X32" s="24">
        <f>SUM($W$20:W32)</f>
        <v>636.76061068702279</v>
      </c>
    </row>
    <row r="34" spans="1:24" s="3" customFormat="1" x14ac:dyDescent="0.25">
      <c r="S34" s="22"/>
    </row>
    <row r="35" spans="1:24" s="3" customFormat="1" x14ac:dyDescent="0.25">
      <c r="A35" s="3" t="s">
        <v>35</v>
      </c>
      <c r="S35" s="22"/>
    </row>
    <row r="36" spans="1:24" s="20" customFormat="1" ht="51.75" x14ac:dyDescent="0.25">
      <c r="A36" s="19" t="s">
        <v>45</v>
      </c>
      <c r="B36" s="19" t="s">
        <v>0</v>
      </c>
      <c r="C36" s="19" t="s">
        <v>20</v>
      </c>
      <c r="D36" s="19" t="s">
        <v>1</v>
      </c>
      <c r="E36" s="19" t="s">
        <v>22</v>
      </c>
      <c r="F36" s="19" t="s">
        <v>2</v>
      </c>
      <c r="G36" s="19" t="s">
        <v>21</v>
      </c>
      <c r="H36" s="19" t="s">
        <v>30</v>
      </c>
      <c r="I36" s="19" t="s">
        <v>31</v>
      </c>
      <c r="J36" s="19" t="s">
        <v>33</v>
      </c>
      <c r="K36" s="19" t="s">
        <v>28</v>
      </c>
      <c r="L36" s="19" t="s">
        <v>32</v>
      </c>
      <c r="M36" s="19" t="s">
        <v>27</v>
      </c>
      <c r="N36" s="19" t="s">
        <v>25</v>
      </c>
      <c r="O36" s="19" t="s">
        <v>26</v>
      </c>
      <c r="P36" s="19" t="s">
        <v>23</v>
      </c>
      <c r="Q36" s="19" t="s">
        <v>24</v>
      </c>
      <c r="R36" s="19" t="s">
        <v>42</v>
      </c>
      <c r="S36" s="23" t="s">
        <v>36</v>
      </c>
      <c r="T36" s="19" t="s">
        <v>37</v>
      </c>
      <c r="U36" s="23" t="s">
        <v>38</v>
      </c>
      <c r="V36" s="19" t="s">
        <v>39</v>
      </c>
      <c r="W36" s="23" t="s">
        <v>40</v>
      </c>
      <c r="X36" s="19" t="s">
        <v>41</v>
      </c>
    </row>
    <row r="37" spans="1:24" x14ac:dyDescent="0.25">
      <c r="A37" s="13" t="s">
        <v>47</v>
      </c>
      <c r="B37" s="17">
        <v>1300</v>
      </c>
      <c r="C37" s="16">
        <f>B37</f>
        <v>1300</v>
      </c>
      <c r="D37" s="18">
        <v>110</v>
      </c>
      <c r="E37" s="15">
        <f>SUM($D$37:D37)</f>
        <v>110</v>
      </c>
      <c r="F37" s="14">
        <v>20</v>
      </c>
      <c r="G37" s="15">
        <f>SUM($F$37:F37)</f>
        <v>20</v>
      </c>
      <c r="H37" s="14">
        <f t="shared" ref="H37:H49" si="43">G37*Max_uren_per_sv_dag</f>
        <v>152</v>
      </c>
      <c r="I37" s="25">
        <f t="shared" ref="I37:I49" si="44">MIN(H37,E37)</f>
        <v>110</v>
      </c>
      <c r="J37" s="15">
        <f>I37*Parameters!$B$13</f>
        <v>3161.671353957413</v>
      </c>
      <c r="K37" s="26">
        <f t="shared" ref="K37:K49" si="45">MIN(J37,C37)</f>
        <v>1300</v>
      </c>
      <c r="L37" s="16">
        <f t="shared" ref="L37:L49" si="46">I37*Max_pensioengev_salaris_per_uur_OP_NP</f>
        <v>6082.8696263559668</v>
      </c>
      <c r="M37" s="26">
        <f t="shared" ref="M37:M49" si="47">MIN(L37,C37)</f>
        <v>1300</v>
      </c>
      <c r="N37" s="16">
        <f t="shared" ref="N37:N49" si="48">I37*Max_pensioengev_salaris_per_uur_VPL</f>
        <v>3161.671353957413</v>
      </c>
      <c r="O37" s="26">
        <f t="shared" ref="O37:O49" si="49">MIN(N37,C37)</f>
        <v>1300</v>
      </c>
      <c r="P37" s="16">
        <f t="shared" ref="P37:P49" si="50">I37*Franchise_OP_NP_per_uur</f>
        <v>782.6285656890318</v>
      </c>
      <c r="Q37" s="16">
        <f>IF(M37-P37&lt;0,0,M37-P37)</f>
        <v>517.3714343109682</v>
      </c>
      <c r="R37" s="17">
        <f>Q37</f>
        <v>517.3714343109682</v>
      </c>
      <c r="S37" s="17">
        <f>Q37*Premie___OP_NP</f>
        <v>105.02640116512656</v>
      </c>
      <c r="T37" s="24">
        <f>SUM($S$37:S37)</f>
        <v>105.02640116512656</v>
      </c>
      <c r="U37" s="27">
        <f>O37*Premie___VPL</f>
        <v>26</v>
      </c>
      <c r="V37" s="24">
        <f>SUM($U$37:U37)</f>
        <v>26</v>
      </c>
      <c r="W37" s="27">
        <f>K37*Premie__VOS</f>
        <v>14.299999999999999</v>
      </c>
      <c r="X37" s="24">
        <f>SUM($W$37:W37)</f>
        <v>14.299999999999999</v>
      </c>
    </row>
    <row r="38" spans="1:24" x14ac:dyDescent="0.25">
      <c r="A38" s="13" t="s">
        <v>46</v>
      </c>
      <c r="B38" s="17">
        <v>1200</v>
      </c>
      <c r="C38" s="16">
        <f t="shared" ref="C38:C47" si="51">C37+B38</f>
        <v>2500</v>
      </c>
      <c r="D38" s="18">
        <v>90</v>
      </c>
      <c r="E38" s="15">
        <f>SUM($D$37:D38)</f>
        <v>200</v>
      </c>
      <c r="F38" s="14">
        <v>20</v>
      </c>
      <c r="G38" s="15">
        <f>SUM($F$37:F38)</f>
        <v>40</v>
      </c>
      <c r="H38" s="14">
        <f t="shared" si="43"/>
        <v>304</v>
      </c>
      <c r="I38" s="25">
        <f t="shared" si="44"/>
        <v>200</v>
      </c>
      <c r="J38" s="15">
        <f>I38*Parameters!$B$13</f>
        <v>5748.4933708316594</v>
      </c>
      <c r="K38" s="26">
        <f t="shared" si="45"/>
        <v>2500</v>
      </c>
      <c r="L38" s="16">
        <f t="shared" si="46"/>
        <v>11059.762957010847</v>
      </c>
      <c r="M38" s="26">
        <f t="shared" si="47"/>
        <v>2500</v>
      </c>
      <c r="N38" s="16">
        <f t="shared" si="48"/>
        <v>5748.4933708316594</v>
      </c>
      <c r="O38" s="26">
        <f t="shared" si="49"/>
        <v>2500</v>
      </c>
      <c r="P38" s="16">
        <f t="shared" si="50"/>
        <v>1422.9610285255123</v>
      </c>
      <c r="Q38" s="16">
        <f t="shared" ref="Q38:Q49" si="52">IF(M38-P38&lt;0,0,M38-P38)</f>
        <v>1077.0389714744877</v>
      </c>
      <c r="R38" s="17">
        <f>Q38-Q37</f>
        <v>559.66753716351946</v>
      </c>
      <c r="S38" s="17">
        <f t="shared" ref="S38:S49" si="53">(Q38-Q37)*Premie___OP_NP</f>
        <v>113.61251004419445</v>
      </c>
      <c r="T38" s="24">
        <f>SUM($S$37:S38)</f>
        <v>218.63891120932101</v>
      </c>
      <c r="U38" s="27">
        <f t="shared" ref="U38:U49" si="54">(O38-O37)*Premie___VPL</f>
        <v>24</v>
      </c>
      <c r="V38" s="24">
        <f>SUM($U$37:U38)</f>
        <v>50</v>
      </c>
      <c r="W38" s="27">
        <f t="shared" ref="W38:W49" si="55">(K38-K37)*Premie__VOS</f>
        <v>13.2</v>
      </c>
      <c r="X38" s="24">
        <f>SUM($W$37:W38)</f>
        <v>27.5</v>
      </c>
    </row>
    <row r="39" spans="1:24" x14ac:dyDescent="0.25">
      <c r="A39" s="13" t="s">
        <v>48</v>
      </c>
      <c r="B39" s="17">
        <v>1200</v>
      </c>
      <c r="C39" s="16">
        <f t="shared" si="51"/>
        <v>3700</v>
      </c>
      <c r="D39" s="18">
        <v>110</v>
      </c>
      <c r="E39" s="15">
        <f>SUM($D$37:D39)</f>
        <v>310</v>
      </c>
      <c r="F39" s="14">
        <v>20</v>
      </c>
      <c r="G39" s="15">
        <f>SUM($F$37:F39)</f>
        <v>60</v>
      </c>
      <c r="H39" s="14">
        <f t="shared" si="43"/>
        <v>456</v>
      </c>
      <c r="I39" s="25">
        <f t="shared" si="44"/>
        <v>310</v>
      </c>
      <c r="J39" s="15">
        <f>I39*Parameters!$B$13</f>
        <v>8910.1647247890724</v>
      </c>
      <c r="K39" s="26">
        <f t="shared" si="45"/>
        <v>3700</v>
      </c>
      <c r="L39" s="16">
        <f t="shared" si="46"/>
        <v>17142.632583366816</v>
      </c>
      <c r="M39" s="26">
        <f t="shared" si="47"/>
        <v>3700</v>
      </c>
      <c r="N39" s="16">
        <f t="shared" si="48"/>
        <v>8910.1647247890724</v>
      </c>
      <c r="O39" s="26">
        <f t="shared" si="49"/>
        <v>3700</v>
      </c>
      <c r="P39" s="16">
        <f t="shared" si="50"/>
        <v>2205.5895942145444</v>
      </c>
      <c r="Q39" s="16">
        <f t="shared" si="52"/>
        <v>1494.4104057854556</v>
      </c>
      <c r="R39" s="17">
        <f t="shared" ref="R39:R49" si="56">Q39-Q38</f>
        <v>417.37143431096797</v>
      </c>
      <c r="S39" s="17">
        <f t="shared" si="53"/>
        <v>84.726401165126504</v>
      </c>
      <c r="T39" s="24">
        <f>SUM($S$37:S39)</f>
        <v>303.36531237444751</v>
      </c>
      <c r="U39" s="27">
        <f t="shared" si="54"/>
        <v>24</v>
      </c>
      <c r="V39" s="24">
        <f>SUM($U$37:U39)</f>
        <v>74</v>
      </c>
      <c r="W39" s="27">
        <f t="shared" si="55"/>
        <v>13.2</v>
      </c>
      <c r="X39" s="24">
        <f>SUM($W$37:W39)</f>
        <v>40.700000000000003</v>
      </c>
    </row>
    <row r="40" spans="1:24" x14ac:dyDescent="0.25">
      <c r="A40" s="13" t="s">
        <v>49</v>
      </c>
      <c r="B40" s="17">
        <v>1500</v>
      </c>
      <c r="C40" s="16">
        <f t="shared" si="51"/>
        <v>5200</v>
      </c>
      <c r="D40" s="18">
        <v>100</v>
      </c>
      <c r="E40" s="15">
        <f>SUM($D$37:D40)</f>
        <v>410</v>
      </c>
      <c r="F40" s="14">
        <v>20</v>
      </c>
      <c r="G40" s="15">
        <f>SUM($F$37:F40)</f>
        <v>80</v>
      </c>
      <c r="H40" s="14">
        <f t="shared" si="43"/>
        <v>608</v>
      </c>
      <c r="I40" s="25">
        <f t="shared" si="44"/>
        <v>410</v>
      </c>
      <c r="J40" s="15">
        <f>I40*Parameters!$B$13</f>
        <v>11784.411410204902</v>
      </c>
      <c r="K40" s="26">
        <f t="shared" si="45"/>
        <v>5200</v>
      </c>
      <c r="L40" s="16">
        <f t="shared" si="46"/>
        <v>22672.51406187224</v>
      </c>
      <c r="M40" s="26">
        <f t="shared" si="47"/>
        <v>5200</v>
      </c>
      <c r="N40" s="16">
        <f t="shared" si="48"/>
        <v>11784.411410204902</v>
      </c>
      <c r="O40" s="26">
        <f t="shared" si="49"/>
        <v>5200</v>
      </c>
      <c r="P40" s="16">
        <f t="shared" si="50"/>
        <v>2917.0701084773004</v>
      </c>
      <c r="Q40" s="16">
        <f t="shared" si="52"/>
        <v>2282.9298915226996</v>
      </c>
      <c r="R40" s="17">
        <f t="shared" si="56"/>
        <v>788.51948573724394</v>
      </c>
      <c r="S40" s="17">
        <f t="shared" si="53"/>
        <v>160.06945560466053</v>
      </c>
      <c r="T40" s="24">
        <f>SUM($S$37:S40)</f>
        <v>463.43476797910807</v>
      </c>
      <c r="U40" s="27">
        <f t="shared" si="54"/>
        <v>30</v>
      </c>
      <c r="V40" s="24">
        <f>SUM($U$37:U40)</f>
        <v>104</v>
      </c>
      <c r="W40" s="27">
        <f t="shared" si="55"/>
        <v>16.5</v>
      </c>
      <c r="X40" s="24">
        <f>SUM($W$37:W40)</f>
        <v>57.2</v>
      </c>
    </row>
    <row r="41" spans="1:24" x14ac:dyDescent="0.25">
      <c r="A41" s="13" t="s">
        <v>50</v>
      </c>
      <c r="B41" s="17">
        <v>2700</v>
      </c>
      <c r="C41" s="16">
        <f t="shared" si="51"/>
        <v>7900</v>
      </c>
      <c r="D41" s="18">
        <v>120</v>
      </c>
      <c r="E41" s="15">
        <f>SUM($D$37:D41)</f>
        <v>530</v>
      </c>
      <c r="F41" s="14">
        <v>20</v>
      </c>
      <c r="G41" s="15">
        <f>SUM($F$37:F41)</f>
        <v>100</v>
      </c>
      <c r="H41" s="14">
        <f t="shared" si="43"/>
        <v>760</v>
      </c>
      <c r="I41" s="25">
        <f t="shared" si="44"/>
        <v>530</v>
      </c>
      <c r="J41" s="15">
        <f>I41*Parameters!$B$13</f>
        <v>15233.507432703898</v>
      </c>
      <c r="K41" s="26">
        <f t="shared" si="45"/>
        <v>7900</v>
      </c>
      <c r="L41" s="16">
        <f t="shared" si="46"/>
        <v>29308.371836078746</v>
      </c>
      <c r="M41" s="26">
        <f t="shared" si="47"/>
        <v>7900</v>
      </c>
      <c r="N41" s="16">
        <f t="shared" si="48"/>
        <v>15233.507432703898</v>
      </c>
      <c r="O41" s="26">
        <f t="shared" si="49"/>
        <v>7900</v>
      </c>
      <c r="P41" s="16">
        <f t="shared" si="50"/>
        <v>3770.846725592608</v>
      </c>
      <c r="Q41" s="16">
        <f t="shared" si="52"/>
        <v>4129.153274407392</v>
      </c>
      <c r="R41" s="17">
        <f t="shared" si="56"/>
        <v>1846.2233828846925</v>
      </c>
      <c r="S41" s="17">
        <f t="shared" si="53"/>
        <v>374.78334672559259</v>
      </c>
      <c r="T41" s="24">
        <f>SUM($S$37:S41)</f>
        <v>838.21811470470061</v>
      </c>
      <c r="U41" s="27">
        <f t="shared" si="54"/>
        <v>54</v>
      </c>
      <c r="V41" s="24">
        <f>SUM($U$37:U41)</f>
        <v>158</v>
      </c>
      <c r="W41" s="27">
        <f t="shared" si="55"/>
        <v>29.7</v>
      </c>
      <c r="X41" s="24">
        <f>SUM($W$37:W41)</f>
        <v>86.9</v>
      </c>
    </row>
    <row r="42" spans="1:24" x14ac:dyDescent="0.25">
      <c r="A42" s="13" t="s">
        <v>51</v>
      </c>
      <c r="B42" s="17">
        <v>1300</v>
      </c>
      <c r="C42" s="16">
        <f t="shared" si="51"/>
        <v>9200</v>
      </c>
      <c r="D42" s="18">
        <v>90</v>
      </c>
      <c r="E42" s="15">
        <f>SUM($D$37:D42)</f>
        <v>620</v>
      </c>
      <c r="F42" s="14">
        <v>20</v>
      </c>
      <c r="G42" s="15">
        <f>SUM($F$37:F42)</f>
        <v>120</v>
      </c>
      <c r="H42" s="14">
        <f t="shared" si="43"/>
        <v>912</v>
      </c>
      <c r="I42" s="25">
        <f t="shared" si="44"/>
        <v>620</v>
      </c>
      <c r="J42" s="15">
        <f>I42*Parameters!$B$13</f>
        <v>17820.329449578145</v>
      </c>
      <c r="K42" s="26">
        <f t="shared" si="45"/>
        <v>9200</v>
      </c>
      <c r="L42" s="16">
        <f t="shared" si="46"/>
        <v>34285.265166733632</v>
      </c>
      <c r="M42" s="26">
        <f t="shared" si="47"/>
        <v>9200</v>
      </c>
      <c r="N42" s="16">
        <f t="shared" si="48"/>
        <v>17820.329449578145</v>
      </c>
      <c r="O42" s="26">
        <f t="shared" si="49"/>
        <v>9200</v>
      </c>
      <c r="P42" s="16">
        <f t="shared" si="50"/>
        <v>4411.1791884290888</v>
      </c>
      <c r="Q42" s="16">
        <f t="shared" si="52"/>
        <v>4788.8208115709112</v>
      </c>
      <c r="R42" s="17">
        <f t="shared" si="56"/>
        <v>659.66753716351923</v>
      </c>
      <c r="S42" s="17">
        <f t="shared" si="53"/>
        <v>133.91251004419442</v>
      </c>
      <c r="T42" s="24">
        <f>SUM($S$37:S42)</f>
        <v>972.130624748895</v>
      </c>
      <c r="U42" s="27">
        <f t="shared" si="54"/>
        <v>26</v>
      </c>
      <c r="V42" s="24">
        <f>SUM($U$37:U42)</f>
        <v>184</v>
      </c>
      <c r="W42" s="27">
        <f t="shared" si="55"/>
        <v>14.299999999999999</v>
      </c>
      <c r="X42" s="24">
        <f>SUM($W$37:W42)</f>
        <v>101.2</v>
      </c>
    </row>
    <row r="43" spans="1:24" x14ac:dyDescent="0.25">
      <c r="A43" s="13" t="s">
        <v>52</v>
      </c>
      <c r="B43" s="17">
        <v>1300</v>
      </c>
      <c r="C43" s="16">
        <f t="shared" si="51"/>
        <v>10500</v>
      </c>
      <c r="D43" s="18">
        <v>82</v>
      </c>
      <c r="E43" s="15">
        <f>SUM($D$37:D43)</f>
        <v>702</v>
      </c>
      <c r="F43" s="14">
        <v>20</v>
      </c>
      <c r="G43" s="15">
        <f>SUM($F$37:F43)</f>
        <v>140</v>
      </c>
      <c r="H43" s="14">
        <f t="shared" si="43"/>
        <v>1064</v>
      </c>
      <c r="I43" s="25">
        <f t="shared" si="44"/>
        <v>702</v>
      </c>
      <c r="J43" s="15">
        <f>I43*Parameters!$B$13</f>
        <v>20177.211731619125</v>
      </c>
      <c r="K43" s="26">
        <f t="shared" si="45"/>
        <v>10500</v>
      </c>
      <c r="L43" s="16">
        <f t="shared" si="46"/>
        <v>38819.767979108074</v>
      </c>
      <c r="M43" s="26">
        <f t="shared" si="47"/>
        <v>10500</v>
      </c>
      <c r="N43" s="16">
        <f t="shared" si="48"/>
        <v>20177.211731619125</v>
      </c>
      <c r="O43" s="26">
        <f t="shared" si="49"/>
        <v>10500</v>
      </c>
      <c r="P43" s="16">
        <f t="shared" si="50"/>
        <v>4994.593210124548</v>
      </c>
      <c r="Q43" s="16">
        <f t="shared" si="52"/>
        <v>5505.406789875452</v>
      </c>
      <c r="R43" s="17">
        <f t="shared" si="56"/>
        <v>716.58597830454073</v>
      </c>
      <c r="S43" s="17">
        <f t="shared" si="53"/>
        <v>145.46695359582179</v>
      </c>
      <c r="T43" s="24">
        <f>SUM($S$37:S43)</f>
        <v>1117.5975783447168</v>
      </c>
      <c r="U43" s="27">
        <f t="shared" si="54"/>
        <v>26</v>
      </c>
      <c r="V43" s="24">
        <f>SUM($U$37:U43)</f>
        <v>210</v>
      </c>
      <c r="W43" s="27">
        <f t="shared" si="55"/>
        <v>14.299999999999999</v>
      </c>
      <c r="X43" s="24">
        <f>SUM($W$37:W43)</f>
        <v>115.5</v>
      </c>
    </row>
    <row r="44" spans="1:24" x14ac:dyDescent="0.25">
      <c r="A44" s="13" t="s">
        <v>53</v>
      </c>
      <c r="B44" s="17">
        <v>1400</v>
      </c>
      <c r="C44" s="16">
        <f t="shared" si="51"/>
        <v>11900</v>
      </c>
      <c r="D44" s="18">
        <v>120</v>
      </c>
      <c r="E44" s="15">
        <f>SUM($D$37:D44)</f>
        <v>822</v>
      </c>
      <c r="F44" s="14">
        <v>20</v>
      </c>
      <c r="G44" s="15">
        <f>SUM($F$37:F44)</f>
        <v>160</v>
      </c>
      <c r="H44" s="14">
        <f t="shared" si="43"/>
        <v>1216</v>
      </c>
      <c r="I44" s="25">
        <f t="shared" si="44"/>
        <v>822</v>
      </c>
      <c r="J44" s="15">
        <f>I44*Parameters!$B$13</f>
        <v>23626.307754118123</v>
      </c>
      <c r="K44" s="26">
        <f t="shared" si="45"/>
        <v>11900</v>
      </c>
      <c r="L44" s="16">
        <f t="shared" si="46"/>
        <v>45455.625753314584</v>
      </c>
      <c r="M44" s="26">
        <f t="shared" si="47"/>
        <v>11900</v>
      </c>
      <c r="N44" s="16">
        <f t="shared" si="48"/>
        <v>23626.307754118123</v>
      </c>
      <c r="O44" s="26">
        <f t="shared" si="49"/>
        <v>11900</v>
      </c>
      <c r="P44" s="16">
        <f t="shared" si="50"/>
        <v>5848.369827239856</v>
      </c>
      <c r="Q44" s="16">
        <f t="shared" si="52"/>
        <v>6051.630172760144</v>
      </c>
      <c r="R44" s="17">
        <f t="shared" si="56"/>
        <v>546.223382884692</v>
      </c>
      <c r="S44" s="17">
        <f t="shared" si="53"/>
        <v>110.88334672559249</v>
      </c>
      <c r="T44" s="24">
        <f>SUM($S$37:S44)</f>
        <v>1228.4809250703092</v>
      </c>
      <c r="U44" s="27">
        <f t="shared" si="54"/>
        <v>28</v>
      </c>
      <c r="V44" s="24">
        <f>SUM($U$37:U44)</f>
        <v>238</v>
      </c>
      <c r="W44" s="27">
        <f t="shared" si="55"/>
        <v>15.399999999999999</v>
      </c>
      <c r="X44" s="24">
        <f>SUM($W$37:W44)</f>
        <v>130.9</v>
      </c>
    </row>
    <row r="45" spans="1:24" x14ac:dyDescent="0.25">
      <c r="A45" s="13" t="s">
        <v>54</v>
      </c>
      <c r="B45" s="17">
        <v>1400</v>
      </c>
      <c r="C45" s="16">
        <f t="shared" si="51"/>
        <v>13300</v>
      </c>
      <c r="D45" s="18">
        <v>100</v>
      </c>
      <c r="E45" s="15">
        <f>SUM($D$37:D45)</f>
        <v>922</v>
      </c>
      <c r="F45" s="14">
        <v>20</v>
      </c>
      <c r="G45" s="15">
        <f>SUM($F$37:F45)</f>
        <v>180</v>
      </c>
      <c r="H45" s="14">
        <f t="shared" si="43"/>
        <v>1368</v>
      </c>
      <c r="I45" s="25">
        <f t="shared" si="44"/>
        <v>922</v>
      </c>
      <c r="J45" s="15">
        <f>I45*Parameters!$B$13</f>
        <v>26500.554439533949</v>
      </c>
      <c r="K45" s="26">
        <f t="shared" si="45"/>
        <v>13300</v>
      </c>
      <c r="L45" s="16">
        <f t="shared" si="46"/>
        <v>50985.507231820011</v>
      </c>
      <c r="M45" s="26">
        <f t="shared" si="47"/>
        <v>13300</v>
      </c>
      <c r="N45" s="16">
        <f t="shared" si="48"/>
        <v>26500.554439533949</v>
      </c>
      <c r="O45" s="26">
        <f t="shared" si="49"/>
        <v>13300</v>
      </c>
      <c r="P45" s="16">
        <f t="shared" si="50"/>
        <v>6559.8503415026116</v>
      </c>
      <c r="Q45" s="16">
        <f t="shared" si="52"/>
        <v>6740.1496584973884</v>
      </c>
      <c r="R45" s="17">
        <f t="shared" si="56"/>
        <v>688.51948573724439</v>
      </c>
      <c r="S45" s="17">
        <f t="shared" si="53"/>
        <v>139.76945560466064</v>
      </c>
      <c r="T45" s="24">
        <f>SUM($S$37:S45)</f>
        <v>1368.2503806749698</v>
      </c>
      <c r="U45" s="27">
        <f t="shared" si="54"/>
        <v>28</v>
      </c>
      <c r="V45" s="24">
        <f>SUM($U$37:U45)</f>
        <v>266</v>
      </c>
      <c r="W45" s="27">
        <f t="shared" si="55"/>
        <v>15.399999999999999</v>
      </c>
      <c r="X45" s="24">
        <f>SUM($W$37:W45)</f>
        <v>146.30000000000001</v>
      </c>
    </row>
    <row r="46" spans="1:24" x14ac:dyDescent="0.25">
      <c r="A46" s="13" t="s">
        <v>55</v>
      </c>
      <c r="B46" s="17">
        <v>1400</v>
      </c>
      <c r="C46" s="16">
        <f t="shared" si="51"/>
        <v>14700</v>
      </c>
      <c r="D46" s="18">
        <v>110</v>
      </c>
      <c r="E46" s="15">
        <f>SUM($D$37:D46)</f>
        <v>1032</v>
      </c>
      <c r="F46" s="14">
        <v>20</v>
      </c>
      <c r="G46" s="15">
        <f>SUM($F$37:F46)</f>
        <v>200</v>
      </c>
      <c r="H46" s="14">
        <f t="shared" si="43"/>
        <v>1520</v>
      </c>
      <c r="I46" s="25">
        <f t="shared" si="44"/>
        <v>1032</v>
      </c>
      <c r="J46" s="15">
        <f>I46*Parameters!$B$13</f>
        <v>29662.225793491365</v>
      </c>
      <c r="K46" s="26">
        <f t="shared" si="45"/>
        <v>14700</v>
      </c>
      <c r="L46" s="16">
        <f t="shared" si="46"/>
        <v>57068.37685817598</v>
      </c>
      <c r="M46" s="26">
        <f t="shared" si="47"/>
        <v>14700</v>
      </c>
      <c r="N46" s="16">
        <f t="shared" si="48"/>
        <v>29662.225793491365</v>
      </c>
      <c r="O46" s="26">
        <f t="shared" si="49"/>
        <v>14700</v>
      </c>
      <c r="P46" s="16">
        <f t="shared" si="50"/>
        <v>7342.4789071916439</v>
      </c>
      <c r="Q46" s="16">
        <f t="shared" si="52"/>
        <v>7357.5210928083561</v>
      </c>
      <c r="R46" s="17">
        <f t="shared" si="56"/>
        <v>617.37143431096774</v>
      </c>
      <c r="S46" s="17">
        <f t="shared" si="53"/>
        <v>125.32640116512646</v>
      </c>
      <c r="T46" s="24">
        <f>SUM($S$37:S46)</f>
        <v>1493.5767818400964</v>
      </c>
      <c r="U46" s="27">
        <f t="shared" si="54"/>
        <v>28</v>
      </c>
      <c r="V46" s="24">
        <f>SUM($U$37:U46)</f>
        <v>294</v>
      </c>
      <c r="W46" s="27">
        <f t="shared" si="55"/>
        <v>15.399999999999999</v>
      </c>
      <c r="X46" s="24">
        <f>SUM($W$37:W46)</f>
        <v>161.70000000000002</v>
      </c>
    </row>
    <row r="47" spans="1:24" x14ac:dyDescent="0.25">
      <c r="A47" s="13" t="s">
        <v>56</v>
      </c>
      <c r="B47" s="17">
        <v>1400</v>
      </c>
      <c r="C47" s="16">
        <f t="shared" si="51"/>
        <v>16100</v>
      </c>
      <c r="D47" s="18">
        <v>110</v>
      </c>
      <c r="E47" s="15">
        <f>SUM($D$37:D47)</f>
        <v>1142</v>
      </c>
      <c r="F47" s="14">
        <v>20</v>
      </c>
      <c r="G47" s="15">
        <f>SUM($F$37:F47)</f>
        <v>220</v>
      </c>
      <c r="H47" s="14">
        <f t="shared" si="43"/>
        <v>1672</v>
      </c>
      <c r="I47" s="25">
        <f t="shared" si="44"/>
        <v>1142</v>
      </c>
      <c r="J47" s="15">
        <f>I47*Parameters!$B$13</f>
        <v>32823.897147448777</v>
      </c>
      <c r="K47" s="26">
        <f t="shared" si="45"/>
        <v>16100</v>
      </c>
      <c r="L47" s="16">
        <f t="shared" si="46"/>
        <v>63151.246484531941</v>
      </c>
      <c r="M47" s="26">
        <f t="shared" si="47"/>
        <v>16100</v>
      </c>
      <c r="N47" s="16">
        <f t="shared" si="48"/>
        <v>32823.897147448777</v>
      </c>
      <c r="O47" s="26">
        <f t="shared" si="49"/>
        <v>16100</v>
      </c>
      <c r="P47" s="16">
        <f t="shared" si="50"/>
        <v>8125.1074728806752</v>
      </c>
      <c r="Q47" s="16">
        <f t="shared" si="52"/>
        <v>7974.8925271193248</v>
      </c>
      <c r="R47" s="17">
        <f t="shared" si="56"/>
        <v>617.37143431096865</v>
      </c>
      <c r="S47" s="17">
        <f t="shared" si="53"/>
        <v>125.32640116512664</v>
      </c>
      <c r="T47" s="24">
        <f>SUM($S$37:S47)</f>
        <v>1618.9031830052231</v>
      </c>
      <c r="U47" s="27">
        <f t="shared" si="54"/>
        <v>28</v>
      </c>
      <c r="V47" s="24">
        <f>SUM($U$37:U47)</f>
        <v>322</v>
      </c>
      <c r="W47" s="27">
        <f t="shared" si="55"/>
        <v>15.399999999999999</v>
      </c>
      <c r="X47" s="24">
        <f>SUM($W$37:W47)</f>
        <v>177.10000000000002</v>
      </c>
    </row>
    <row r="48" spans="1:24" s="3" customFormat="1" x14ac:dyDescent="0.25">
      <c r="A48" s="13" t="s">
        <v>57</v>
      </c>
      <c r="B48" s="17">
        <v>2500</v>
      </c>
      <c r="C48" s="16">
        <f>C46+B48</f>
        <v>17200</v>
      </c>
      <c r="D48" s="18">
        <v>100</v>
      </c>
      <c r="E48" s="15">
        <f>SUM($D$37:D48)</f>
        <v>1242</v>
      </c>
      <c r="F48" s="14">
        <v>20</v>
      </c>
      <c r="G48" s="15">
        <f>SUM($F$37:F48)</f>
        <v>240</v>
      </c>
      <c r="H48" s="14">
        <f t="shared" si="43"/>
        <v>1824</v>
      </c>
      <c r="I48" s="25">
        <f t="shared" ref="I48" si="57">MIN(H48,E48)</f>
        <v>1242</v>
      </c>
      <c r="J48" s="15">
        <f>I48*Parameters!$B$13</f>
        <v>35698.143832864604</v>
      </c>
      <c r="K48" s="26">
        <f t="shared" ref="K48" si="58">MIN(J48,C48)</f>
        <v>17200</v>
      </c>
      <c r="L48" s="16">
        <f t="shared" ref="L48" si="59">I48*Max_pensioengev_salaris_per_uur_OP_NP</f>
        <v>68681.127963037361</v>
      </c>
      <c r="M48" s="26">
        <f t="shared" ref="M48" si="60">MIN(L48,C48)</f>
        <v>17200</v>
      </c>
      <c r="N48" s="16">
        <f t="shared" ref="N48" si="61">I48*Max_pensioengev_salaris_per_uur_VPL</f>
        <v>35698.143832864604</v>
      </c>
      <c r="O48" s="26">
        <f t="shared" ref="O48" si="62">MIN(N48,C48)</f>
        <v>17200</v>
      </c>
      <c r="P48" s="16">
        <f t="shared" ref="P48" si="63">I48*Franchise_OP_NP_per_uur</f>
        <v>8836.5879871434317</v>
      </c>
      <c r="Q48" s="16">
        <f t="shared" ref="Q48" si="64">IF(M48-P48&lt;0,0,M48-P48)</f>
        <v>8363.4120128565683</v>
      </c>
      <c r="R48" s="17">
        <f t="shared" si="56"/>
        <v>388.51948573724349</v>
      </c>
      <c r="S48" s="17">
        <f t="shared" si="53"/>
        <v>78.86945560466043</v>
      </c>
      <c r="T48" s="24">
        <f>SUM($S$37:S48)</f>
        <v>1697.7726386098836</v>
      </c>
      <c r="U48" s="27">
        <f t="shared" si="54"/>
        <v>22</v>
      </c>
      <c r="V48" s="24">
        <f>SUM($U$37:U48)</f>
        <v>344</v>
      </c>
      <c r="W48" s="27">
        <f t="shared" si="55"/>
        <v>12.1</v>
      </c>
      <c r="X48" s="24">
        <f>SUM($W$37:W48)</f>
        <v>189.20000000000002</v>
      </c>
    </row>
    <row r="49" spans="1:24" x14ac:dyDescent="0.25">
      <c r="A49" s="13" t="s">
        <v>58</v>
      </c>
      <c r="B49" s="17">
        <v>2500</v>
      </c>
      <c r="C49" s="16">
        <f>C47+B49</f>
        <v>18600</v>
      </c>
      <c r="D49" s="18">
        <v>100</v>
      </c>
      <c r="E49" s="15">
        <f>SUM($D$37:D49)</f>
        <v>1342</v>
      </c>
      <c r="F49" s="14">
        <v>25</v>
      </c>
      <c r="G49" s="15">
        <f>SUM($F$37:F49)</f>
        <v>265</v>
      </c>
      <c r="H49" s="14">
        <f t="shared" si="43"/>
        <v>2014</v>
      </c>
      <c r="I49" s="25">
        <f t="shared" si="44"/>
        <v>1342</v>
      </c>
      <c r="J49" s="15">
        <f>I49*Parameters!$B$13</f>
        <v>38572.390518280437</v>
      </c>
      <c r="K49" s="26">
        <f t="shared" si="45"/>
        <v>18600</v>
      </c>
      <c r="L49" s="16">
        <f t="shared" si="46"/>
        <v>74211.009441542788</v>
      </c>
      <c r="M49" s="26">
        <f t="shared" si="47"/>
        <v>18600</v>
      </c>
      <c r="N49" s="16">
        <f t="shared" si="48"/>
        <v>38572.390518280437</v>
      </c>
      <c r="O49" s="26">
        <f t="shared" si="49"/>
        <v>18600</v>
      </c>
      <c r="P49" s="16">
        <f t="shared" si="50"/>
        <v>9548.0685014061874</v>
      </c>
      <c r="Q49" s="16">
        <f t="shared" si="52"/>
        <v>9051.9314985938126</v>
      </c>
      <c r="R49" s="17">
        <f t="shared" si="56"/>
        <v>688.51948573724439</v>
      </c>
      <c r="S49" s="17">
        <f t="shared" si="53"/>
        <v>139.76945560466064</v>
      </c>
      <c r="T49" s="24">
        <f>SUM($S$37:S49)</f>
        <v>1837.5420942145442</v>
      </c>
      <c r="U49" s="27">
        <f t="shared" si="54"/>
        <v>28</v>
      </c>
      <c r="V49" s="24">
        <f>SUM($U$37:U49)</f>
        <v>372</v>
      </c>
      <c r="W49" s="27">
        <f t="shared" si="55"/>
        <v>15.399999999999999</v>
      </c>
      <c r="X49" s="24">
        <f>SUM($W$37:W49)</f>
        <v>204.60000000000002</v>
      </c>
    </row>
    <row r="52" spans="1:24" x14ac:dyDescent="0.25">
      <c r="A52" s="3" t="s">
        <v>35</v>
      </c>
      <c r="B52" s="3" t="s">
        <v>59</v>
      </c>
      <c r="C52" s="3"/>
      <c r="D52" s="3"/>
      <c r="E52" s="3"/>
      <c r="F52" s="3"/>
      <c r="G52" s="3"/>
      <c r="H52" s="3"/>
      <c r="I52" s="3"/>
      <c r="J52" s="3"/>
      <c r="K52" s="3"/>
      <c r="P52" s="3"/>
      <c r="Q52" s="3"/>
    </row>
    <row r="53" spans="1:24" s="20" customFormat="1" ht="51.75" x14ac:dyDescent="0.25">
      <c r="A53" s="19" t="s">
        <v>45</v>
      </c>
      <c r="B53" s="19" t="s">
        <v>0</v>
      </c>
      <c r="C53" s="19" t="s">
        <v>20</v>
      </c>
      <c r="D53" s="19" t="s">
        <v>1</v>
      </c>
      <c r="E53" s="19" t="s">
        <v>22</v>
      </c>
      <c r="F53" s="19" t="s">
        <v>2</v>
      </c>
      <c r="G53" s="19" t="s">
        <v>21</v>
      </c>
      <c r="H53" s="19" t="s">
        <v>30</v>
      </c>
      <c r="I53" s="19" t="s">
        <v>31</v>
      </c>
      <c r="J53" s="19" t="s">
        <v>33</v>
      </c>
      <c r="K53" s="19" t="s">
        <v>28</v>
      </c>
      <c r="L53" s="19" t="s">
        <v>32</v>
      </c>
      <c r="M53" s="19" t="s">
        <v>27</v>
      </c>
      <c r="N53" s="19" t="s">
        <v>25</v>
      </c>
      <c r="O53" s="19" t="s">
        <v>26</v>
      </c>
      <c r="P53" s="19" t="s">
        <v>23</v>
      </c>
      <c r="Q53" s="19" t="s">
        <v>24</v>
      </c>
      <c r="R53" s="19" t="s">
        <v>42</v>
      </c>
      <c r="S53" s="23" t="s">
        <v>36</v>
      </c>
      <c r="T53" s="19" t="s">
        <v>37</v>
      </c>
      <c r="U53" s="23" t="s">
        <v>38</v>
      </c>
      <c r="V53" s="19" t="s">
        <v>39</v>
      </c>
      <c r="W53" s="23" t="s">
        <v>40</v>
      </c>
      <c r="X53" s="19" t="s">
        <v>41</v>
      </c>
    </row>
    <row r="54" spans="1:24" x14ac:dyDescent="0.25">
      <c r="A54" s="13" t="s">
        <v>47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x14ac:dyDescent="0.25">
      <c r="A55" s="13" t="s">
        <v>46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x14ac:dyDescent="0.25">
      <c r="A56" s="13" t="s">
        <v>48</v>
      </c>
      <c r="B56" s="17">
        <v>1200</v>
      </c>
      <c r="C56" s="16">
        <f t="shared" ref="C56:C61" si="65">C55+B56</f>
        <v>1200</v>
      </c>
      <c r="D56" s="18">
        <v>110</v>
      </c>
      <c r="E56" s="15">
        <f>SUM($D$56:D56)</f>
        <v>110</v>
      </c>
      <c r="F56" s="14">
        <v>20</v>
      </c>
      <c r="G56" s="15">
        <f>SUM($F$56:F56)</f>
        <v>20</v>
      </c>
      <c r="H56" s="14">
        <f t="shared" ref="H56:H61" si="66">G56*Max_uren_per_sv_dag</f>
        <v>152</v>
      </c>
      <c r="I56" s="25">
        <f t="shared" ref="I56:I61" si="67">MIN(H56,E56)</f>
        <v>110</v>
      </c>
      <c r="J56" s="15">
        <f>I56*Parameters!$B$13</f>
        <v>3161.671353957413</v>
      </c>
      <c r="K56" s="26">
        <f t="shared" ref="K56:K61" si="68">MIN(J56,C56)</f>
        <v>1200</v>
      </c>
      <c r="L56" s="16">
        <f t="shared" ref="L56:L61" si="69">I56*Max_pensioengev_salaris_per_uur_OP_NP</f>
        <v>6082.8696263559668</v>
      </c>
      <c r="M56" s="26">
        <f t="shared" ref="M56:M61" si="70">MIN(L56,C56)</f>
        <v>1200</v>
      </c>
      <c r="N56" s="16">
        <f t="shared" ref="N56:N61" si="71">I56*Max_pensioengev_salaris_per_uur_VPL</f>
        <v>3161.671353957413</v>
      </c>
      <c r="O56" s="26">
        <f t="shared" ref="O56:O61" si="72">MIN(N56,C56)</f>
        <v>1200</v>
      </c>
      <c r="P56" s="16">
        <f t="shared" ref="P56:P61" si="73">I56*Franchise_OP_NP_per_uur</f>
        <v>782.6285656890318</v>
      </c>
      <c r="Q56" s="16">
        <f t="shared" ref="Q56:Q61" si="74">IF(M56-P56&lt;0,0,M56-P56)</f>
        <v>417.3714343109682</v>
      </c>
      <c r="R56" s="17">
        <f>Q56-Q55</f>
        <v>417.3714343109682</v>
      </c>
      <c r="S56" s="17">
        <f t="shared" ref="S56:S61" si="75">(Q56-Q55)*Premie___OP_NP</f>
        <v>84.726401165126546</v>
      </c>
      <c r="T56" s="24">
        <f>SUM($S$56:S56)</f>
        <v>84.726401165126546</v>
      </c>
      <c r="U56" s="27">
        <f t="shared" ref="U56:U61" si="76">(O56-O55)*Premie___VPL</f>
        <v>24</v>
      </c>
      <c r="V56" s="24">
        <f>SUM($U$56:U56)</f>
        <v>24</v>
      </c>
      <c r="W56" s="27">
        <f t="shared" ref="W56:W61" si="77">(K56-K55)*Premie__VOS</f>
        <v>13.2</v>
      </c>
      <c r="X56" s="24">
        <f>SUM($W$56:W56)</f>
        <v>13.2</v>
      </c>
    </row>
    <row r="57" spans="1:24" x14ac:dyDescent="0.25">
      <c r="A57" s="13" t="s">
        <v>49</v>
      </c>
      <c r="B57" s="17">
        <v>1500</v>
      </c>
      <c r="C57" s="16">
        <f t="shared" si="65"/>
        <v>2700</v>
      </c>
      <c r="D57" s="18">
        <v>100</v>
      </c>
      <c r="E57" s="15">
        <f>SUM($D$56:D57)</f>
        <v>210</v>
      </c>
      <c r="F57" s="14">
        <v>20</v>
      </c>
      <c r="G57" s="15">
        <f>SUM($F$56:F57)</f>
        <v>40</v>
      </c>
      <c r="H57" s="14">
        <f t="shared" si="66"/>
        <v>304</v>
      </c>
      <c r="I57" s="25">
        <f t="shared" si="67"/>
        <v>210</v>
      </c>
      <c r="J57" s="15">
        <f>I57*Parameters!$B$13</f>
        <v>6035.9180393732422</v>
      </c>
      <c r="K57" s="26">
        <f t="shared" si="68"/>
        <v>2700</v>
      </c>
      <c r="L57" s="16">
        <f t="shared" si="69"/>
        <v>11612.751104861391</v>
      </c>
      <c r="M57" s="26">
        <f t="shared" si="70"/>
        <v>2700</v>
      </c>
      <c r="N57" s="16">
        <f t="shared" si="71"/>
        <v>6035.9180393732422</v>
      </c>
      <c r="O57" s="26">
        <f t="shared" si="72"/>
        <v>2700</v>
      </c>
      <c r="P57" s="16">
        <f t="shared" si="73"/>
        <v>1494.1090799517881</v>
      </c>
      <c r="Q57" s="16">
        <f t="shared" si="74"/>
        <v>1205.8909200482119</v>
      </c>
      <c r="R57" s="17">
        <f t="shared" ref="R57:R61" si="78">Q57-Q56</f>
        <v>788.51948573724371</v>
      </c>
      <c r="S57" s="17">
        <f t="shared" si="75"/>
        <v>160.06945560466048</v>
      </c>
      <c r="T57" s="24">
        <f>SUM($S$56:S57)</f>
        <v>244.79585676978701</v>
      </c>
      <c r="U57" s="27">
        <f t="shared" si="76"/>
        <v>30</v>
      </c>
      <c r="V57" s="24">
        <f>SUM($U$56:U57)</f>
        <v>54</v>
      </c>
      <c r="W57" s="27">
        <f t="shared" si="77"/>
        <v>16.5</v>
      </c>
      <c r="X57" s="24">
        <f>SUM($W$56:W57)</f>
        <v>29.7</v>
      </c>
    </row>
    <row r="58" spans="1:24" x14ac:dyDescent="0.25">
      <c r="A58" s="13" t="s">
        <v>50</v>
      </c>
      <c r="B58" s="17">
        <v>2100</v>
      </c>
      <c r="C58" s="16">
        <f t="shared" si="65"/>
        <v>4800</v>
      </c>
      <c r="D58" s="18">
        <v>95</v>
      </c>
      <c r="E58" s="15">
        <f>SUM($D$56:D58)</f>
        <v>305</v>
      </c>
      <c r="F58" s="14">
        <v>20</v>
      </c>
      <c r="G58" s="15">
        <f>SUM($F$56:F58)</f>
        <v>60</v>
      </c>
      <c r="H58" s="14">
        <f t="shared" si="66"/>
        <v>456</v>
      </c>
      <c r="I58" s="25">
        <f t="shared" si="67"/>
        <v>305</v>
      </c>
      <c r="J58" s="15">
        <f>I58*Parameters!$B$13</f>
        <v>8766.4523905182814</v>
      </c>
      <c r="K58" s="26">
        <f t="shared" si="68"/>
        <v>4800</v>
      </c>
      <c r="L58" s="16">
        <f t="shared" si="69"/>
        <v>16866.138509441542</v>
      </c>
      <c r="M58" s="26">
        <f t="shared" si="70"/>
        <v>4800</v>
      </c>
      <c r="N58" s="16">
        <f t="shared" si="71"/>
        <v>8766.4523905182814</v>
      </c>
      <c r="O58" s="26">
        <f t="shared" si="72"/>
        <v>4800</v>
      </c>
      <c r="P58" s="16">
        <f t="shared" si="73"/>
        <v>2170.0155685014065</v>
      </c>
      <c r="Q58" s="16">
        <f t="shared" si="74"/>
        <v>2629.9844314985935</v>
      </c>
      <c r="R58" s="17">
        <f t="shared" si="78"/>
        <v>1424.0935114503816</v>
      </c>
      <c r="S58" s="17">
        <f t="shared" si="75"/>
        <v>289.0909828244275</v>
      </c>
      <c r="T58" s="24">
        <f>SUM($S$56:S58)</f>
        <v>533.88683959421451</v>
      </c>
      <c r="U58" s="27">
        <f t="shared" si="76"/>
        <v>42</v>
      </c>
      <c r="V58" s="24">
        <f>SUM($U$56:U58)</f>
        <v>96</v>
      </c>
      <c r="W58" s="27">
        <f t="shared" si="77"/>
        <v>23.099999999999998</v>
      </c>
      <c r="X58" s="24">
        <f>SUM($W$56:W58)</f>
        <v>52.8</v>
      </c>
    </row>
    <row r="59" spans="1:24" x14ac:dyDescent="0.25">
      <c r="A59" s="13" t="s">
        <v>51</v>
      </c>
      <c r="B59" s="17">
        <v>1300</v>
      </c>
      <c r="C59" s="16">
        <f t="shared" si="65"/>
        <v>6100</v>
      </c>
      <c r="D59" s="18">
        <v>110</v>
      </c>
      <c r="E59" s="15">
        <f>SUM($D$56:D59)</f>
        <v>415</v>
      </c>
      <c r="F59" s="14">
        <v>20</v>
      </c>
      <c r="G59" s="15">
        <f>SUM($F$56:F59)</f>
        <v>80</v>
      </c>
      <c r="H59" s="14">
        <f t="shared" si="66"/>
        <v>608</v>
      </c>
      <c r="I59" s="25">
        <f t="shared" si="67"/>
        <v>415</v>
      </c>
      <c r="J59" s="15">
        <f>I59*Parameters!$B$13</f>
        <v>11928.123744475693</v>
      </c>
      <c r="K59" s="26">
        <f t="shared" si="68"/>
        <v>6100</v>
      </c>
      <c r="L59" s="16">
        <f t="shared" si="69"/>
        <v>22949.00813579751</v>
      </c>
      <c r="M59" s="26">
        <f t="shared" si="70"/>
        <v>6100</v>
      </c>
      <c r="N59" s="16">
        <f t="shared" si="71"/>
        <v>11928.123744475693</v>
      </c>
      <c r="O59" s="26">
        <f t="shared" si="72"/>
        <v>6100</v>
      </c>
      <c r="P59" s="16">
        <f t="shared" si="73"/>
        <v>2952.6441341904383</v>
      </c>
      <c r="Q59" s="16">
        <f t="shared" si="74"/>
        <v>3147.3558658095617</v>
      </c>
      <c r="R59" s="17">
        <f t="shared" si="78"/>
        <v>517.3714343109682</v>
      </c>
      <c r="S59" s="17">
        <f t="shared" si="75"/>
        <v>105.02640116512656</v>
      </c>
      <c r="T59" s="24">
        <f>SUM($S$56:S59)</f>
        <v>638.91324075934108</v>
      </c>
      <c r="U59" s="27">
        <f t="shared" si="76"/>
        <v>26</v>
      </c>
      <c r="V59" s="24">
        <f>SUM($U$56:U59)</f>
        <v>122</v>
      </c>
      <c r="W59" s="27">
        <f t="shared" si="77"/>
        <v>14.299999999999999</v>
      </c>
      <c r="X59" s="24">
        <f>SUM($W$56:W59)</f>
        <v>67.099999999999994</v>
      </c>
    </row>
    <row r="60" spans="1:24" x14ac:dyDescent="0.25">
      <c r="A60" s="13" t="s">
        <v>52</v>
      </c>
      <c r="B60" s="17">
        <v>1300</v>
      </c>
      <c r="C60" s="16">
        <f t="shared" si="65"/>
        <v>7400</v>
      </c>
      <c r="D60" s="18">
        <v>100</v>
      </c>
      <c r="E60" s="15">
        <f>SUM($D$56:D60)</f>
        <v>515</v>
      </c>
      <c r="F60" s="14">
        <v>20</v>
      </c>
      <c r="G60" s="15">
        <f>SUM($F$56:F60)</f>
        <v>100</v>
      </c>
      <c r="H60" s="14">
        <f t="shared" si="66"/>
        <v>760</v>
      </c>
      <c r="I60" s="25">
        <f t="shared" si="67"/>
        <v>515</v>
      </c>
      <c r="J60" s="15">
        <f>I60*Parameters!$B$13</f>
        <v>14802.370429891524</v>
      </c>
      <c r="K60" s="26">
        <f t="shared" si="68"/>
        <v>7400</v>
      </c>
      <c r="L60" s="16">
        <f t="shared" si="69"/>
        <v>28478.889614302934</v>
      </c>
      <c r="M60" s="26">
        <f t="shared" si="70"/>
        <v>7400</v>
      </c>
      <c r="N60" s="16">
        <f t="shared" si="71"/>
        <v>14802.370429891524</v>
      </c>
      <c r="O60" s="26">
        <f t="shared" si="72"/>
        <v>7400</v>
      </c>
      <c r="P60" s="16">
        <f t="shared" si="73"/>
        <v>3664.1246484531944</v>
      </c>
      <c r="Q60" s="16">
        <f t="shared" si="74"/>
        <v>3735.8753515468056</v>
      </c>
      <c r="R60" s="17">
        <f t="shared" si="78"/>
        <v>588.51948573724394</v>
      </c>
      <c r="S60" s="17">
        <f t="shared" si="75"/>
        <v>119.46945560466052</v>
      </c>
      <c r="T60" s="24">
        <f>SUM($S$56:S60)</f>
        <v>758.38269636400162</v>
      </c>
      <c r="U60" s="27">
        <f t="shared" si="76"/>
        <v>26</v>
      </c>
      <c r="V60" s="24">
        <f>SUM($U$56:U60)</f>
        <v>148</v>
      </c>
      <c r="W60" s="27">
        <f t="shared" si="77"/>
        <v>14.299999999999999</v>
      </c>
      <c r="X60" s="24">
        <f>SUM($W$56:W60)</f>
        <v>81.399999999999991</v>
      </c>
    </row>
    <row r="61" spans="1:24" x14ac:dyDescent="0.25">
      <c r="A61" s="13" t="s">
        <v>53</v>
      </c>
      <c r="B61" s="17">
        <v>1400</v>
      </c>
      <c r="C61" s="16">
        <f t="shared" si="65"/>
        <v>8800</v>
      </c>
      <c r="D61" s="18">
        <v>120</v>
      </c>
      <c r="E61" s="15">
        <f>SUM($D$56:D61)</f>
        <v>635</v>
      </c>
      <c r="F61" s="14">
        <v>20</v>
      </c>
      <c r="G61" s="15">
        <f>SUM($F$56:F61)</f>
        <v>120</v>
      </c>
      <c r="H61" s="14">
        <f t="shared" si="66"/>
        <v>912</v>
      </c>
      <c r="I61" s="25">
        <f t="shared" si="67"/>
        <v>635</v>
      </c>
      <c r="J61" s="15">
        <f>I61*Parameters!$B$13</f>
        <v>18251.466452390519</v>
      </c>
      <c r="K61" s="26">
        <f t="shared" si="68"/>
        <v>8800</v>
      </c>
      <c r="L61" s="16">
        <f t="shared" si="69"/>
        <v>35114.747388509444</v>
      </c>
      <c r="M61" s="26">
        <f t="shared" si="70"/>
        <v>8800</v>
      </c>
      <c r="N61" s="16">
        <f t="shared" si="71"/>
        <v>18251.466452390519</v>
      </c>
      <c r="O61" s="26">
        <f t="shared" si="72"/>
        <v>8800</v>
      </c>
      <c r="P61" s="16">
        <f t="shared" si="73"/>
        <v>4517.9012655685019</v>
      </c>
      <c r="Q61" s="16">
        <f t="shared" si="74"/>
        <v>4282.0987344314981</v>
      </c>
      <c r="R61" s="17">
        <f t="shared" si="78"/>
        <v>546.22338288469246</v>
      </c>
      <c r="S61" s="17">
        <f t="shared" si="75"/>
        <v>110.88334672559257</v>
      </c>
      <c r="T61" s="24">
        <f>SUM($S$56:S61)</f>
        <v>869.26604308959418</v>
      </c>
      <c r="U61" s="27">
        <f t="shared" si="76"/>
        <v>28</v>
      </c>
      <c r="V61" s="24">
        <f>SUM($U$56:U61)</f>
        <v>176</v>
      </c>
      <c r="W61" s="27">
        <f t="shared" si="77"/>
        <v>15.399999999999999</v>
      </c>
      <c r="X61" s="24">
        <f>SUM($W$56:W61)</f>
        <v>96.799999999999983</v>
      </c>
    </row>
    <row r="62" spans="1:24" x14ac:dyDescent="0.25">
      <c r="A62" s="13" t="s">
        <v>54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x14ac:dyDescent="0.25">
      <c r="A63" s="13" t="s">
        <v>55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x14ac:dyDescent="0.25">
      <c r="A64" s="13" t="s">
        <v>56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s="3" customFormat="1" x14ac:dyDescent="0.25">
      <c r="A65" s="13" t="s">
        <v>57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1:24" x14ac:dyDescent="0.25">
      <c r="A66" s="13" t="s">
        <v>58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topLeftCell="A4" workbookViewId="0">
      <selection activeCell="B17" sqref="B17"/>
    </sheetView>
  </sheetViews>
  <sheetFormatPr defaultRowHeight="15" x14ac:dyDescent="0.25"/>
  <cols>
    <col min="1" max="1" width="29.7109375" customWidth="1"/>
    <col min="2" max="2" width="19" customWidth="1"/>
  </cols>
  <sheetData>
    <row r="1" spans="1:3" x14ac:dyDescent="0.25">
      <c r="A1" s="1" t="s">
        <v>5</v>
      </c>
      <c r="B1" s="2">
        <v>2020</v>
      </c>
      <c r="C1" s="4"/>
    </row>
    <row r="2" spans="1:3" s="3" customFormat="1" x14ac:dyDescent="0.25">
      <c r="A2" s="1" t="s">
        <v>6</v>
      </c>
      <c r="B2" s="5">
        <v>262</v>
      </c>
      <c r="C2" s="4" t="s">
        <v>7</v>
      </c>
    </row>
    <row r="3" spans="1:3" x14ac:dyDescent="0.25">
      <c r="A3" s="1" t="s">
        <v>8</v>
      </c>
      <c r="B3" s="8">
        <f>Aantal_SV_dagen_in_het_jaar*Max_uren_per_sv_dag</f>
        <v>1991.1999999999998</v>
      </c>
      <c r="C3" s="4" t="s">
        <v>7</v>
      </c>
    </row>
    <row r="4" spans="1:3" x14ac:dyDescent="0.25">
      <c r="A4" s="1" t="s">
        <v>3</v>
      </c>
      <c r="B4" s="6">
        <v>9.5</v>
      </c>
      <c r="C4" s="4" t="s">
        <v>7</v>
      </c>
    </row>
    <row r="5" spans="1:3" x14ac:dyDescent="0.25">
      <c r="A5" s="1" t="s">
        <v>4</v>
      </c>
      <c r="B5" s="6">
        <v>7.6</v>
      </c>
      <c r="C5" s="4" t="s">
        <v>9</v>
      </c>
    </row>
    <row r="6" spans="1:3" x14ac:dyDescent="0.25">
      <c r="A6" s="1" t="s">
        <v>10</v>
      </c>
      <c r="B6" s="7">
        <v>14167</v>
      </c>
      <c r="C6" s="4" t="s">
        <v>7</v>
      </c>
    </row>
    <row r="7" spans="1:3" x14ac:dyDescent="0.25">
      <c r="A7" s="1" t="s">
        <v>11</v>
      </c>
      <c r="B7" s="8">
        <f>B6/B3</f>
        <v>7.1148051426275618</v>
      </c>
      <c r="C7" s="4" t="s">
        <v>12</v>
      </c>
    </row>
    <row r="8" spans="1:3" ht="25.5" x14ac:dyDescent="0.25">
      <c r="A8" s="1" t="s">
        <v>13</v>
      </c>
      <c r="B8" s="9">
        <v>110111</v>
      </c>
      <c r="C8" s="4" t="s">
        <v>7</v>
      </c>
    </row>
    <row r="9" spans="1:3" ht="25.5" x14ac:dyDescent="0.25">
      <c r="A9" s="1" t="s">
        <v>14</v>
      </c>
      <c r="B9" s="8">
        <f>B8/B3</f>
        <v>55.29881478505424</v>
      </c>
      <c r="C9" s="4" t="s">
        <v>12</v>
      </c>
    </row>
    <row r="10" spans="1:3" ht="25.5" x14ac:dyDescent="0.25">
      <c r="A10" s="1" t="s">
        <v>15</v>
      </c>
      <c r="B10" s="10">
        <v>57232</v>
      </c>
      <c r="C10" s="4" t="s">
        <v>7</v>
      </c>
    </row>
    <row r="11" spans="1:3" ht="25.5" x14ac:dyDescent="0.25">
      <c r="A11" s="1" t="s">
        <v>16</v>
      </c>
      <c r="B11" s="8">
        <f>B10/B3</f>
        <v>28.742466854158298</v>
      </c>
      <c r="C11" s="4" t="s">
        <v>12</v>
      </c>
    </row>
    <row r="12" spans="1:3" s="3" customFormat="1" x14ac:dyDescent="0.25">
      <c r="A12" s="1" t="s">
        <v>29</v>
      </c>
      <c r="B12" s="10">
        <v>57232</v>
      </c>
      <c r="C12" s="4" t="s">
        <v>7</v>
      </c>
    </row>
    <row r="13" spans="1:3" s="3" customFormat="1" x14ac:dyDescent="0.25">
      <c r="A13" s="1" t="s">
        <v>29</v>
      </c>
      <c r="B13" s="8">
        <f>B12/B3</f>
        <v>28.742466854158298</v>
      </c>
      <c r="C13" s="4" t="s">
        <v>12</v>
      </c>
    </row>
    <row r="14" spans="1:3" x14ac:dyDescent="0.25">
      <c r="A14" s="1" t="s">
        <v>17</v>
      </c>
      <c r="B14" s="11">
        <v>0.20300000000000001</v>
      </c>
      <c r="C14" s="4" t="s">
        <v>7</v>
      </c>
    </row>
    <row r="15" spans="1:3" x14ac:dyDescent="0.25">
      <c r="A15" s="1" t="s">
        <v>18</v>
      </c>
      <c r="B15" s="11">
        <v>0.02</v>
      </c>
      <c r="C15" s="4" t="s">
        <v>7</v>
      </c>
    </row>
    <row r="16" spans="1:3" x14ac:dyDescent="0.25">
      <c r="A16" s="12" t="s">
        <v>19</v>
      </c>
      <c r="B16" s="11">
        <v>1.0999999999999999E-2</v>
      </c>
      <c r="C16" s="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D41D5C4C44D847B3964F7A658B6E71" ma:contentTypeVersion="13" ma:contentTypeDescription="Een nieuw document maken." ma:contentTypeScope="" ma:versionID="482f7e846f2e686576d811a0f13b8944">
  <xsd:schema xmlns:xsd="http://www.w3.org/2001/XMLSchema" xmlns:xs="http://www.w3.org/2001/XMLSchema" xmlns:p="http://schemas.microsoft.com/office/2006/metadata/properties" xmlns:ns1="http://schemas.microsoft.com/sharepoint/v3" xmlns:ns2="549402ac-5c8b-4883-a96f-96e4d2c05d80" xmlns:ns3="2498090c-e355-4fb0-8493-16b46b633987" targetNamespace="http://schemas.microsoft.com/office/2006/metadata/properties" ma:root="true" ma:fieldsID="863015c5e24231020d6b0ee59e85a208" ns1:_="" ns2:_="" ns3:_="">
    <xsd:import namespace="http://schemas.microsoft.com/sharepoint/v3"/>
    <xsd:import namespace="549402ac-5c8b-4883-a96f-96e4d2c05d80"/>
    <xsd:import namespace="2498090c-e355-4fb0-8493-16b46b633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402ac-5c8b-4883-a96f-96e4d2c0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8090c-e355-4fb0-8493-16b46b633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F77DAB0-3A16-4CEA-A64D-9AD417368EAE}"/>
</file>

<file path=customXml/itemProps2.xml><?xml version="1.0" encoding="utf-8"?>
<ds:datastoreItem xmlns:ds="http://schemas.openxmlformats.org/officeDocument/2006/customXml" ds:itemID="{BC81A18B-2D3F-4EAA-9A42-76D9A151319E}"/>
</file>

<file path=customXml/itemProps3.xml><?xml version="1.0" encoding="utf-8"?>
<ds:datastoreItem xmlns:ds="http://schemas.openxmlformats.org/officeDocument/2006/customXml" ds:itemID="{9083E951-EDA5-4FA6-A84F-93F373FE28D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14</vt:i4>
      </vt:variant>
    </vt:vector>
  </HeadingPairs>
  <TitlesOfParts>
    <vt:vector size="16" baseType="lpstr">
      <vt:lpstr>4 wkn</vt:lpstr>
      <vt:lpstr>Parameters</vt:lpstr>
      <vt:lpstr>Aantal_SV_dagen_in_het_jaar</vt:lpstr>
      <vt:lpstr>Franchise_OP_NP</vt:lpstr>
      <vt:lpstr>Franchise_OP_NP_per_uur</vt:lpstr>
      <vt:lpstr>Jaar_van_berekening</vt:lpstr>
      <vt:lpstr>Max_pensioengev_salaris_per_jaar_OP_NP</vt:lpstr>
      <vt:lpstr>Max_pensioengev_salaris_per_jaar_VPL</vt:lpstr>
      <vt:lpstr>Max_pensioengev_salaris_per_uur_OP_NP</vt:lpstr>
      <vt:lpstr>Max_pensioengev_salaris_per_uur_VPL</vt:lpstr>
      <vt:lpstr>Max_uren_per_gewerkte_dag</vt:lpstr>
      <vt:lpstr>Max_uren_per_sv_dag</vt:lpstr>
      <vt:lpstr>Normuren_per_jaar</vt:lpstr>
      <vt:lpstr>Premie___OP_NP</vt:lpstr>
      <vt:lpstr>Premie___VPL</vt:lpstr>
      <vt:lpstr>Premie__VOS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Lootens</dc:creator>
  <cp:lastModifiedBy>peterd</cp:lastModifiedBy>
  <dcterms:created xsi:type="dcterms:W3CDTF">2017-06-06T07:51:58Z</dcterms:created>
  <dcterms:modified xsi:type="dcterms:W3CDTF">2021-02-23T15:11:19Z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0x010100BBD41D5C4C44D847B3964F7A658B6E71</vt:lpwstr>
  </property>
</Properties>
</file>